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oord de Financas\2019\LAI\"/>
    </mc:Choice>
  </mc:AlternateContent>
  <xr:revisionPtr revIDLastSave="0" documentId="13_ncr:1_{E9C87B27-8AF5-4A89-955E-F6A2F2EC9A91}" xr6:coauthVersionLast="41" xr6:coauthVersionMax="41" xr10:uidLastSave="{00000000-0000-0000-0000-000000000000}"/>
  <workbookProtection workbookAlgorithmName="SHA-512" workbookHashValue="bmoRorLpAPUufYVeghfP7jGWi6qP8YoLm8XfeGCfqBIZkeDXi+wb6Csr44Sa8OuYBFIlw4Iku4tf6a6bE9YK6g==" workbookSaltValue="Efuq4tr64Spx7J0xjvIlug==" workbookSpinCount="100000" lockStructure="1"/>
  <bookViews>
    <workbookView xWindow="-120" yWindow="-120" windowWidth="25440" windowHeight="15390" firstSheet="10" activeTab="16" xr2:uid="{00000000-000D-0000-FFFF-FFFF00000000}"/>
  </bookViews>
  <sheets>
    <sheet name="Capa" sheetId="16" state="hidden" r:id="rId1"/>
    <sheet name="Balancete Dez-2012" sheetId="14" state="hidden" r:id="rId2"/>
    <sheet name="Balancete Dez-2013" sheetId="20" state="hidden" r:id="rId3"/>
    <sheet name="Balancete Dez-2014" sheetId="24" state="hidden" r:id="rId4"/>
    <sheet name="Plan1" sheetId="25" state="hidden" r:id="rId5"/>
    <sheet name="Balancete Dez-2015" sheetId="29" state="hidden" r:id="rId6"/>
    <sheet name="Planilha1" sheetId="32" state="hidden" r:id="rId7"/>
    <sheet name="Tabelas" sheetId="35" state="hidden" r:id="rId8"/>
    <sheet name="Plano de Contas" sheetId="6" r:id="rId9"/>
    <sheet name="Balancete Dez-2016" sheetId="31" state="hidden" r:id="rId10"/>
    <sheet name="Balancete Dez-2017" sheetId="33" r:id="rId11"/>
    <sheet name="Notas explicativas" sheetId="30" state="hidden" r:id="rId12"/>
    <sheet name="Controles" sheetId="37" state="hidden" r:id="rId13"/>
    <sheet name="Balancete 2018" sheetId="34" r:id="rId14"/>
    <sheet name="Provisões" sheetId="39" r:id="rId15"/>
    <sheet name="Balancete 2019" sheetId="38" r:id="rId16"/>
    <sheet name="BP" sheetId="1" r:id="rId17"/>
    <sheet name="DRE" sheetId="2" r:id="rId18"/>
    <sheet name="DRA" sheetId="22" r:id="rId19"/>
    <sheet name="DMPL" sheetId="17" r:id="rId20"/>
    <sheet name="DFC" sheetId="18" r:id="rId21"/>
    <sheet name="DVA" sheetId="21" r:id="rId22"/>
    <sheet name="Índices" sheetId="36" state="hidden" r:id="rId23"/>
  </sheets>
  <externalReferences>
    <externalReference r:id="rId24"/>
  </externalReferences>
  <definedNames>
    <definedName name="_arred">Controles!$B$8</definedName>
    <definedName name="_decimos">Controles!$B$9</definedName>
    <definedName name="_divisor">Controles!$B$6</definedName>
    <definedName name="_em">Controles!$B$7</definedName>
    <definedName name="_xlnm._FilterDatabase" localSheetId="13" hidden="1">'Balancete 2018'!#REF!</definedName>
    <definedName name="_xlnm._FilterDatabase" localSheetId="15" hidden="1">'Balancete 2019'!#REF!</definedName>
    <definedName name="_xlnm._FilterDatabase" localSheetId="1" hidden="1">'Balancete Dez-2012'!$B$4:$P$750</definedName>
    <definedName name="_xlnm._FilterDatabase" localSheetId="2" hidden="1">'Balancete Dez-2013'!$B$4:$P$750</definedName>
    <definedName name="_xlnm._FilterDatabase" localSheetId="3" hidden="1">'Balancete Dez-2014'!$A$4:$P$588</definedName>
    <definedName name="_xlnm._FilterDatabase" localSheetId="5" hidden="1">'Balancete Dez-2015'!$A$4:$R$650</definedName>
    <definedName name="_xlnm._FilterDatabase" localSheetId="8" hidden="1">'Plano de Contas'!#REF!</definedName>
    <definedName name="_saldo">Controles!$B$5</definedName>
    <definedName name="_xlnm.Print_Area" localSheetId="16">BP!$A$4:$L$106</definedName>
    <definedName name="_xlnm.Print_Area" localSheetId="0">Capa!$A$1:$K$67</definedName>
    <definedName name="_xlnm.Print_Area" localSheetId="20">DFC!$A$3:$K$69</definedName>
    <definedName name="_xlnm.Print_Area" localSheetId="19">DMPL!$A$1:$O$131</definedName>
    <definedName name="_xlnm.Print_Area" localSheetId="18">DRA!$A$1:$T$28</definedName>
    <definedName name="_xlnm.Print_Area" localSheetId="17">DRE!$A$1:$J$57</definedName>
    <definedName name="_xlnm.Print_Area" localSheetId="21">DVA!$A$1:$U$60</definedName>
    <definedName name="_xlnm.Print_Area" localSheetId="22">Índices!$A$1:$J$45</definedName>
    <definedName name="BALANCETE_12" localSheetId="5">'Balancete Dez-2015'!$A$1:$K$578</definedName>
    <definedName name="DadosExternos_1" localSheetId="13" hidden="1">'Balancete 2018'!#REF!</definedName>
    <definedName name="DadosExternos_1" localSheetId="15" hidden="1">'Balancete 2019'!#REF!</definedName>
    <definedName name="DadosExternos_1" localSheetId="9" hidden="1">'Balancete Dez-2016'!$A$1:$I$436</definedName>
    <definedName name="DadosExternos_1" localSheetId="10" hidden="1">'Balancete Dez-2017'!#REF!</definedName>
    <definedName name="DadosExternos_1" localSheetId="14" hidden="1">Provisões!#REF!</definedName>
    <definedName name="DadosExternos_2" localSheetId="14" hidden="1">Provisões!#REF!</definedName>
    <definedName name="r.BP00">[1]Controles!$H$3</definedName>
    <definedName name="r.BP01">[1]Controles!$H$2</definedName>
    <definedName name="r.BPDez00">[1]Controles!$H$5</definedName>
    <definedName name="r.BPDez01">[1]Controles!$H$4</definedName>
    <definedName name="r.FC00">[1]Controles!$H$7</definedName>
    <definedName name="r.FC01">[1]Controles!$H$6</definedName>
    <definedName name="r.SD00">[1]Controles!$I$3</definedName>
    <definedName name="r.SD01">[1]Controles!$I$2</definedName>
    <definedName name="r.SDDez00">[1]Controles!$I$5</definedName>
    <definedName name="r.SDDez01">[1]Controles!$I$4</definedName>
    <definedName name="r.SFC00">[1]Controles!$I$7</definedName>
    <definedName name="r.SFC01">[1]Controles!$I$6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" i="22" l="1"/>
  <c r="M9" i="22"/>
  <c r="O9" i="22"/>
  <c r="Q9" i="22"/>
  <c r="S9" i="22"/>
  <c r="U9" i="22"/>
  <c r="W9" i="22"/>
  <c r="Y9" i="22"/>
  <c r="K12" i="22"/>
  <c r="M12" i="22"/>
  <c r="O12" i="22"/>
  <c r="Q12" i="22"/>
  <c r="S12" i="22"/>
  <c r="U12" i="22"/>
  <c r="U20" i="22" s="1"/>
  <c r="W12" i="22"/>
  <c r="W20" i="22" s="1"/>
  <c r="K15" i="22"/>
  <c r="M15" i="22"/>
  <c r="K16" i="22"/>
  <c r="M16" i="22"/>
  <c r="K17" i="22"/>
  <c r="M17" i="22"/>
  <c r="K18" i="22"/>
  <c r="K20" i="22" s="1"/>
  <c r="M18" i="22"/>
  <c r="M20" i="22" s="1"/>
  <c r="O18" i="22"/>
  <c r="O20" i="22" s="1"/>
  <c r="Q18" i="22"/>
  <c r="S18" i="22"/>
  <c r="Q20" i="22"/>
  <c r="S20" i="22"/>
  <c r="K26" i="22"/>
  <c r="K27" i="22"/>
  <c r="K28" i="22"/>
  <c r="C2" i="35" l="1"/>
  <c r="O2425" i="38" l="1"/>
  <c r="B129" i="17" l="1"/>
  <c r="A72" i="18" l="1"/>
  <c r="G58" i="21"/>
  <c r="G59" i="21"/>
  <c r="G60" i="21"/>
  <c r="A59" i="21"/>
  <c r="A60" i="21"/>
  <c r="A73" i="18"/>
  <c r="A74" i="18"/>
  <c r="I72" i="18"/>
  <c r="I73" i="18"/>
  <c r="I74" i="18"/>
  <c r="A27" i="22"/>
  <c r="A28" i="22"/>
  <c r="A60" i="2"/>
  <c r="A61" i="2"/>
  <c r="J104" i="1"/>
  <c r="J105" i="1"/>
  <c r="J106" i="1"/>
  <c r="A105" i="1"/>
  <c r="A106" i="1"/>
  <c r="A59" i="2" l="1"/>
  <c r="A104" i="1"/>
  <c r="A26" i="22"/>
  <c r="A58" i="21"/>
  <c r="E33" i="30" l="1"/>
  <c r="E32" i="30"/>
  <c r="E31" i="30"/>
  <c r="E30" i="30"/>
  <c r="E29" i="30"/>
  <c r="E28" i="30"/>
  <c r="E27" i="30"/>
  <c r="E26" i="30"/>
  <c r="C33" i="30"/>
  <c r="C32" i="30"/>
  <c r="C31" i="30"/>
  <c r="C30" i="30"/>
  <c r="C29" i="30"/>
  <c r="C28" i="30"/>
  <c r="C27" i="30"/>
  <c r="C26" i="30"/>
  <c r="A1" i="36" l="1"/>
  <c r="B7" i="37" l="1"/>
  <c r="B6" i="37"/>
  <c r="B5" i="37"/>
  <c r="A7" i="17" l="1"/>
  <c r="A8" i="18"/>
  <c r="B9" i="37"/>
  <c r="A6" i="2"/>
  <c r="A6" i="22"/>
  <c r="B8" i="37"/>
  <c r="C11" i="30" l="1"/>
  <c r="G8" i="30"/>
  <c r="R122" i="17"/>
  <c r="R123" i="17"/>
  <c r="C15" i="30"/>
  <c r="C9" i="30"/>
  <c r="G9" i="30"/>
  <c r="E15" i="30"/>
  <c r="E12" i="30"/>
  <c r="G15" i="30"/>
  <c r="C7" i="30"/>
  <c r="C12" i="30"/>
  <c r="C14" i="30"/>
  <c r="G13" i="30"/>
  <c r="G10" i="30"/>
  <c r="G7" i="30"/>
  <c r="G12" i="30"/>
  <c r="E10" i="30"/>
  <c r="C10" i="30"/>
  <c r="E7" i="30"/>
  <c r="G14" i="30"/>
  <c r="C13" i="30"/>
  <c r="G11" i="30"/>
  <c r="C8" i="30"/>
  <c r="E14" i="30"/>
  <c r="E13" i="30"/>
  <c r="E11" i="30"/>
  <c r="E9" i="30"/>
  <c r="E8" i="30"/>
  <c r="F82" i="17"/>
  <c r="H82" i="17"/>
  <c r="F89" i="17"/>
  <c r="D82" i="17"/>
  <c r="H93" i="17"/>
  <c r="R49" i="21"/>
  <c r="V47" i="21"/>
  <c r="T43" i="21"/>
  <c r="R42" i="21"/>
  <c r="X41" i="21"/>
  <c r="X49" i="21"/>
  <c r="T47" i="21"/>
  <c r="R43" i="21"/>
  <c r="X42" i="21"/>
  <c r="V41" i="21"/>
  <c r="T37" i="21"/>
  <c r="R36" i="21"/>
  <c r="X35" i="21"/>
  <c r="V49" i="21"/>
  <c r="R47" i="21"/>
  <c r="X43" i="21"/>
  <c r="V42" i="21"/>
  <c r="T41" i="21"/>
  <c r="R37" i="21"/>
  <c r="X36" i="21"/>
  <c r="V35" i="21"/>
  <c r="R11" i="21"/>
  <c r="V37" i="21"/>
  <c r="R35" i="21"/>
  <c r="T49" i="21"/>
  <c r="X47" i="21"/>
  <c r="V43" i="21"/>
  <c r="T42" i="21"/>
  <c r="R41" i="21"/>
  <c r="X37" i="21"/>
  <c r="V36" i="21"/>
  <c r="T35" i="21"/>
  <c r="X11" i="21"/>
  <c r="T36" i="21"/>
  <c r="V11" i="21"/>
  <c r="T11" i="21"/>
  <c r="L82" i="17"/>
  <c r="D87" i="17"/>
  <c r="L87" i="17" s="1"/>
  <c r="L84" i="17"/>
  <c r="J82" i="17"/>
  <c r="N82" i="17" l="1"/>
  <c r="I7" i="36"/>
  <c r="L7" i="36" s="1"/>
  <c r="J63" i="21" l="1"/>
  <c r="B55" i="2"/>
  <c r="B12" i="22" s="1"/>
  <c r="N48" i="21"/>
  <c r="N35" i="21"/>
  <c r="N27" i="21"/>
  <c r="N41" i="21"/>
  <c r="N16" i="21"/>
  <c r="N42" i="21"/>
  <c r="N49" i="21"/>
  <c r="N47" i="21"/>
  <c r="N17" i="21"/>
  <c r="N43" i="21"/>
  <c r="N22" i="21"/>
  <c r="N37" i="21"/>
  <c r="N12" i="21"/>
  <c r="N36" i="21"/>
  <c r="N11" i="21"/>
  <c r="C4" i="35"/>
  <c r="C3" i="35"/>
  <c r="H109" i="1" l="1"/>
  <c r="H3" i="1" s="1"/>
  <c r="B114" i="17"/>
  <c r="L8" i="21"/>
  <c r="B99" i="17"/>
  <c r="L47" i="21" l="1"/>
  <c r="L37" i="21"/>
  <c r="L22" i="21"/>
  <c r="L11" i="21"/>
  <c r="L43" i="21"/>
  <c r="L36" i="21"/>
  <c r="L17" i="21"/>
  <c r="L49" i="21"/>
  <c r="L42" i="21"/>
  <c r="L35" i="21"/>
  <c r="L16" i="21"/>
  <c r="L18" i="21" s="1"/>
  <c r="L48" i="21"/>
  <c r="L41" i="21"/>
  <c r="L27" i="21"/>
  <c r="L12" i="21"/>
  <c r="L43" i="36"/>
  <c r="L9" i="36"/>
  <c r="L19" i="36"/>
  <c r="L24" i="36" s="1"/>
  <c r="L39" i="36" s="1"/>
  <c r="L10" i="36"/>
  <c r="H63" i="21" l="1"/>
  <c r="L44" i="21"/>
  <c r="L13" i="21"/>
  <c r="L20" i="21" s="1"/>
  <c r="L24" i="21" s="1"/>
  <c r="L29" i="21" s="1"/>
  <c r="L38" i="21"/>
  <c r="L50" i="21"/>
  <c r="R107" i="17"/>
  <c r="H92" i="17"/>
  <c r="R108" i="17"/>
  <c r="L22" i="36"/>
  <c r="L42" i="36"/>
  <c r="I42" i="36" s="1"/>
  <c r="I9" i="36"/>
  <c r="L13" i="36"/>
  <c r="L16" i="36"/>
  <c r="L18" i="36"/>
  <c r="I18" i="36" s="1"/>
  <c r="L12" i="36"/>
  <c r="L21" i="36" l="1"/>
  <c r="L37" i="36" s="1"/>
  <c r="L15" i="36"/>
  <c r="I15" i="36" s="1"/>
  <c r="I12" i="36"/>
  <c r="L25" i="36" l="1"/>
  <c r="I24" i="36" s="1"/>
  <c r="I21" i="36"/>
  <c r="L31" i="36" l="1"/>
  <c r="L34" i="36" s="1"/>
  <c r="L30" i="36" l="1"/>
  <c r="L36" i="36" l="1"/>
  <c r="I36" i="36" s="1"/>
  <c r="I30" i="36"/>
  <c r="C11" i="35"/>
  <c r="N93" i="17"/>
  <c r="N87" i="17"/>
  <c r="J97" i="17"/>
  <c r="N97" i="17" s="1"/>
  <c r="N8" i="21"/>
  <c r="N84" i="17"/>
  <c r="N92" i="17"/>
  <c r="N89" i="17"/>
  <c r="L52" i="21" l="1"/>
  <c r="L54" i="21" s="1"/>
  <c r="L63" i="21" s="1"/>
  <c r="L27" i="36"/>
  <c r="L33" i="36"/>
  <c r="I33" i="36" s="1"/>
  <c r="D9" i="35"/>
  <c r="K1" i="32"/>
  <c r="K2" i="32"/>
  <c r="K3" i="32"/>
  <c r="K4" i="32"/>
  <c r="K5" i="32"/>
  <c r="K6" i="32"/>
  <c r="K7" i="32"/>
  <c r="K8" i="32"/>
  <c r="K9" i="32"/>
  <c r="K10" i="32"/>
  <c r="K11" i="32"/>
  <c r="K12" i="32"/>
  <c r="K13" i="32"/>
  <c r="K14" i="32"/>
  <c r="K15" i="32"/>
  <c r="K16" i="32"/>
  <c r="K17" i="32"/>
  <c r="K18" i="32"/>
  <c r="K19" i="32"/>
  <c r="K20" i="32"/>
  <c r="K21" i="32"/>
  <c r="K22" i="32"/>
  <c r="K23" i="32"/>
  <c r="K24" i="32"/>
  <c r="K25" i="32"/>
  <c r="K26" i="32"/>
  <c r="K27" i="32"/>
  <c r="K28" i="32"/>
  <c r="K29" i="32"/>
  <c r="K30" i="32"/>
  <c r="K31" i="32"/>
  <c r="K32" i="32"/>
  <c r="K33" i="32"/>
  <c r="K34" i="32"/>
  <c r="K35" i="32"/>
  <c r="K36" i="32"/>
  <c r="K37" i="32"/>
  <c r="K38" i="32"/>
  <c r="K39" i="32"/>
  <c r="K40" i="32"/>
  <c r="K41" i="32"/>
  <c r="K42" i="32"/>
  <c r="K43" i="32"/>
  <c r="K44" i="32"/>
  <c r="K45" i="32"/>
  <c r="K46" i="32"/>
  <c r="K47" i="32"/>
  <c r="K48" i="32"/>
  <c r="K49" i="32"/>
  <c r="K50" i="32"/>
  <c r="K51" i="32"/>
  <c r="K52" i="32"/>
  <c r="K53" i="32"/>
  <c r="K54" i="32"/>
  <c r="K55" i="32"/>
  <c r="K56" i="32"/>
  <c r="K57" i="32"/>
  <c r="K58" i="32"/>
  <c r="K59" i="32"/>
  <c r="K60" i="32"/>
  <c r="K61" i="32"/>
  <c r="K62" i="32"/>
  <c r="K63" i="32"/>
  <c r="K64" i="32"/>
  <c r="K65" i="32"/>
  <c r="K66" i="32"/>
  <c r="K67" i="32"/>
  <c r="K68" i="32"/>
  <c r="K69" i="32"/>
  <c r="K70" i="32"/>
  <c r="K71" i="32"/>
  <c r="K72" i="32"/>
  <c r="K73" i="32"/>
  <c r="K74" i="32"/>
  <c r="K75" i="32"/>
  <c r="K76" i="32"/>
  <c r="K77" i="32"/>
  <c r="K78" i="32"/>
  <c r="K79" i="32"/>
  <c r="K80" i="32"/>
  <c r="K81" i="32"/>
  <c r="K82" i="32"/>
  <c r="K83" i="32"/>
  <c r="K84" i="32"/>
  <c r="K85" i="32"/>
  <c r="K86" i="32"/>
  <c r="K88" i="32"/>
  <c r="K89" i="32"/>
  <c r="K90" i="32"/>
  <c r="K91" i="32"/>
  <c r="K92" i="32"/>
  <c r="K93" i="32"/>
  <c r="K94" i="32"/>
  <c r="K95" i="32"/>
  <c r="K96" i="32"/>
  <c r="K97" i="32"/>
  <c r="K98" i="32"/>
  <c r="K99" i="32"/>
  <c r="K100" i="32"/>
  <c r="K101" i="32"/>
  <c r="K102" i="32"/>
  <c r="K103" i="32"/>
  <c r="K104" i="32"/>
  <c r="K105" i="32"/>
  <c r="K106" i="32"/>
  <c r="K107" i="32"/>
  <c r="K108" i="32"/>
  <c r="K109" i="32"/>
  <c r="K110" i="32"/>
  <c r="K111" i="32"/>
  <c r="K112" i="32"/>
  <c r="K113" i="32"/>
  <c r="K114" i="32"/>
  <c r="K115" i="32"/>
  <c r="K116" i="32"/>
  <c r="K117" i="32"/>
  <c r="K118" i="32"/>
  <c r="K119" i="32"/>
  <c r="K120" i="32"/>
  <c r="K121" i="32"/>
  <c r="K122" i="32"/>
  <c r="K123" i="32"/>
  <c r="K124" i="32"/>
  <c r="K125" i="32"/>
  <c r="K126" i="32"/>
  <c r="K127" i="32"/>
  <c r="K128" i="32"/>
  <c r="K129" i="32"/>
  <c r="K87" i="32"/>
  <c r="L2" i="32"/>
  <c r="L3" i="32"/>
  <c r="M3" i="32" s="1"/>
  <c r="L4" i="32"/>
  <c r="M4" i="32" s="1"/>
  <c r="L5" i="32"/>
  <c r="M5" i="32" s="1"/>
  <c r="L6" i="32"/>
  <c r="M6" i="32" s="1"/>
  <c r="L7" i="32"/>
  <c r="M7" i="32" s="1"/>
  <c r="L8" i="32"/>
  <c r="M8" i="32" s="1"/>
  <c r="L9" i="32"/>
  <c r="M9" i="32" s="1"/>
  <c r="L10" i="32"/>
  <c r="M10" i="32" s="1"/>
  <c r="L11" i="32"/>
  <c r="M11" i="32" s="1"/>
  <c r="L12" i="32"/>
  <c r="M12" i="32" s="1"/>
  <c r="L13" i="32"/>
  <c r="M13" i="32" s="1"/>
  <c r="L14" i="32"/>
  <c r="M14" i="32" s="1"/>
  <c r="L15" i="32"/>
  <c r="M15" i="32" s="1"/>
  <c r="L16" i="32"/>
  <c r="M16" i="32" s="1"/>
  <c r="L17" i="32"/>
  <c r="M17" i="32" s="1"/>
  <c r="L18" i="32"/>
  <c r="M18" i="32" s="1"/>
  <c r="L19" i="32"/>
  <c r="M19" i="32" s="1"/>
  <c r="L20" i="32"/>
  <c r="M20" i="32" s="1"/>
  <c r="L21" i="32"/>
  <c r="M21" i="32" s="1"/>
  <c r="L22" i="32"/>
  <c r="M22" i="32" s="1"/>
  <c r="L23" i="32"/>
  <c r="M23" i="32" s="1"/>
  <c r="L24" i="32"/>
  <c r="M24" i="32" s="1"/>
  <c r="L25" i="32"/>
  <c r="M25" i="32" s="1"/>
  <c r="L26" i="32"/>
  <c r="M26" i="32" s="1"/>
  <c r="L27" i="32"/>
  <c r="M27" i="32" s="1"/>
  <c r="L28" i="32"/>
  <c r="M28" i="32" s="1"/>
  <c r="L29" i="32"/>
  <c r="M29" i="32" s="1"/>
  <c r="L30" i="32"/>
  <c r="M30" i="32" s="1"/>
  <c r="L31" i="32"/>
  <c r="M31" i="32" s="1"/>
  <c r="L32" i="32"/>
  <c r="M32" i="32" s="1"/>
  <c r="L33" i="32"/>
  <c r="M33" i="32" s="1"/>
  <c r="L34" i="32"/>
  <c r="M34" i="32" s="1"/>
  <c r="L35" i="32"/>
  <c r="M35" i="32" s="1"/>
  <c r="L36" i="32"/>
  <c r="M36" i="32" s="1"/>
  <c r="L37" i="32"/>
  <c r="M37" i="32" s="1"/>
  <c r="L38" i="32"/>
  <c r="M38" i="32" s="1"/>
  <c r="L39" i="32"/>
  <c r="M39" i="32" s="1"/>
  <c r="L40" i="32"/>
  <c r="M40" i="32" s="1"/>
  <c r="L41" i="32"/>
  <c r="M41" i="32" s="1"/>
  <c r="L42" i="32"/>
  <c r="M42" i="32" s="1"/>
  <c r="L43" i="32"/>
  <c r="M43" i="32" s="1"/>
  <c r="L44" i="32"/>
  <c r="M44" i="32" s="1"/>
  <c r="L45" i="32"/>
  <c r="M45" i="32" s="1"/>
  <c r="L46" i="32"/>
  <c r="M46" i="32" s="1"/>
  <c r="L47" i="32"/>
  <c r="M47" i="32" s="1"/>
  <c r="L48" i="32"/>
  <c r="M48" i="32" s="1"/>
  <c r="L49" i="32"/>
  <c r="M49" i="32" s="1"/>
  <c r="L50" i="32"/>
  <c r="M50" i="32" s="1"/>
  <c r="L51" i="32"/>
  <c r="M51" i="32" s="1"/>
  <c r="L52" i="32"/>
  <c r="M52" i="32" s="1"/>
  <c r="L53" i="32"/>
  <c r="M53" i="32" s="1"/>
  <c r="L54" i="32"/>
  <c r="M54" i="32" s="1"/>
  <c r="L55" i="32"/>
  <c r="M55" i="32" s="1"/>
  <c r="L56" i="32"/>
  <c r="M56" i="32" s="1"/>
  <c r="L57" i="32"/>
  <c r="M57" i="32" s="1"/>
  <c r="L58" i="32"/>
  <c r="M58" i="32" s="1"/>
  <c r="L59" i="32"/>
  <c r="M59" i="32" s="1"/>
  <c r="L60" i="32"/>
  <c r="M60" i="32" s="1"/>
  <c r="L61" i="32"/>
  <c r="M61" i="32" s="1"/>
  <c r="L62" i="32"/>
  <c r="M62" i="32" s="1"/>
  <c r="L63" i="32"/>
  <c r="M63" i="32" s="1"/>
  <c r="L64" i="32"/>
  <c r="M64" i="32" s="1"/>
  <c r="L65" i="32"/>
  <c r="M65" i="32" s="1"/>
  <c r="L66" i="32"/>
  <c r="M66" i="32" s="1"/>
  <c r="L67" i="32"/>
  <c r="M67" i="32" s="1"/>
  <c r="L68" i="32"/>
  <c r="M68" i="32" s="1"/>
  <c r="L69" i="32"/>
  <c r="M69" i="32" s="1"/>
  <c r="L70" i="32"/>
  <c r="M70" i="32" s="1"/>
  <c r="L71" i="32"/>
  <c r="M71" i="32" s="1"/>
  <c r="L72" i="32"/>
  <c r="M72" i="32" s="1"/>
  <c r="L73" i="32"/>
  <c r="M73" i="32" s="1"/>
  <c r="L74" i="32"/>
  <c r="M74" i="32" s="1"/>
  <c r="L75" i="32"/>
  <c r="M75" i="32" s="1"/>
  <c r="L76" i="32"/>
  <c r="M76" i="32" s="1"/>
  <c r="L77" i="32"/>
  <c r="M77" i="32" s="1"/>
  <c r="L78" i="32"/>
  <c r="M78" i="32" s="1"/>
  <c r="L79" i="32"/>
  <c r="M79" i="32" s="1"/>
  <c r="L80" i="32"/>
  <c r="M80" i="32" s="1"/>
  <c r="L81" i="32"/>
  <c r="M81" i="32" s="1"/>
  <c r="L82" i="32"/>
  <c r="M82" i="32" s="1"/>
  <c r="L83" i="32"/>
  <c r="M83" i="32" s="1"/>
  <c r="L84" i="32"/>
  <c r="M84" i="32" s="1"/>
  <c r="L85" i="32"/>
  <c r="M85" i="32" s="1"/>
  <c r="L86" i="32"/>
  <c r="M86" i="32" s="1"/>
  <c r="L87" i="32"/>
  <c r="L88" i="32"/>
  <c r="L89" i="32"/>
  <c r="L90" i="32"/>
  <c r="L91" i="32"/>
  <c r="L92" i="32"/>
  <c r="L93" i="32"/>
  <c r="L94" i="32"/>
  <c r="L95" i="32"/>
  <c r="L96" i="32"/>
  <c r="L97" i="32"/>
  <c r="L98" i="32"/>
  <c r="L99" i="32"/>
  <c r="L100" i="32"/>
  <c r="L101" i="32"/>
  <c r="L102" i="32"/>
  <c r="L103" i="32"/>
  <c r="L104" i="32"/>
  <c r="L105" i="32"/>
  <c r="L106" i="32"/>
  <c r="L107" i="32"/>
  <c r="L108" i="32"/>
  <c r="L109" i="32"/>
  <c r="L110" i="32"/>
  <c r="L111" i="32"/>
  <c r="L112" i="32"/>
  <c r="L113" i="32"/>
  <c r="L114" i="32"/>
  <c r="L115" i="32"/>
  <c r="L116" i="32"/>
  <c r="L117" i="32"/>
  <c r="L118" i="32"/>
  <c r="L119" i="32"/>
  <c r="L120" i="32"/>
  <c r="L121" i="32"/>
  <c r="L122" i="32"/>
  <c r="L123" i="32"/>
  <c r="L124" i="32"/>
  <c r="L125" i="32"/>
  <c r="L126" i="32"/>
  <c r="L127" i="32"/>
  <c r="L128" i="32"/>
  <c r="L129" i="32"/>
  <c r="L1" i="32"/>
  <c r="M1" i="32" l="1"/>
  <c r="M126" i="32"/>
  <c r="M122" i="32"/>
  <c r="M118" i="32"/>
  <c r="M114" i="32"/>
  <c r="M110" i="32"/>
  <c r="M106" i="32"/>
  <c r="M102" i="32"/>
  <c r="M98" i="32"/>
  <c r="M94" i="32"/>
  <c r="M90" i="32"/>
  <c r="M2" i="32"/>
  <c r="M128" i="32"/>
  <c r="M124" i="32"/>
  <c r="M120" i="32"/>
  <c r="M116" i="32"/>
  <c r="M112" i="32"/>
  <c r="M108" i="32"/>
  <c r="M104" i="32"/>
  <c r="M100" i="32"/>
  <c r="M96" i="32"/>
  <c r="M92" i="32"/>
  <c r="M88" i="32"/>
  <c r="M129" i="32"/>
  <c r="M125" i="32"/>
  <c r="M121" i="32"/>
  <c r="M117" i="32"/>
  <c r="M113" i="32"/>
  <c r="M109" i="32"/>
  <c r="M105" i="32"/>
  <c r="M101" i="32"/>
  <c r="M97" i="32"/>
  <c r="M93" i="32"/>
  <c r="M89" i="32"/>
  <c r="M127" i="32"/>
  <c r="M123" i="32"/>
  <c r="M119" i="32"/>
  <c r="M115" i="32"/>
  <c r="M111" i="32"/>
  <c r="M107" i="32"/>
  <c r="M103" i="32"/>
  <c r="M99" i="32"/>
  <c r="M95" i="32"/>
  <c r="M91" i="32"/>
  <c r="M87" i="32"/>
  <c r="L2" i="31"/>
  <c r="L3" i="31"/>
  <c r="L4" i="31"/>
  <c r="L5" i="31"/>
  <c r="L6" i="31"/>
  <c r="L7" i="31"/>
  <c r="L8" i="31"/>
  <c r="L9" i="31"/>
  <c r="L10" i="31"/>
  <c r="L11" i="31"/>
  <c r="L12" i="31"/>
  <c r="L13" i="31"/>
  <c r="L14" i="31"/>
  <c r="L15" i="31"/>
  <c r="L16" i="31"/>
  <c r="L17" i="31"/>
  <c r="L18" i="31"/>
  <c r="L19" i="31"/>
  <c r="L20" i="31"/>
  <c r="L21" i="31"/>
  <c r="L22" i="31"/>
  <c r="L23" i="31"/>
  <c r="L24" i="31"/>
  <c r="L25" i="31"/>
  <c r="L26" i="31"/>
  <c r="L27" i="31"/>
  <c r="L28" i="31"/>
  <c r="L29" i="31"/>
  <c r="L30" i="31"/>
  <c r="L31" i="31"/>
  <c r="L32" i="31"/>
  <c r="L33" i="31"/>
  <c r="L34" i="31"/>
  <c r="L35" i="31"/>
  <c r="L36" i="31"/>
  <c r="L37" i="31"/>
  <c r="L38" i="31"/>
  <c r="L39" i="31"/>
  <c r="L40" i="31"/>
  <c r="L41" i="31"/>
  <c r="L42" i="31"/>
  <c r="L43" i="31"/>
  <c r="L44" i="31"/>
  <c r="L45" i="31"/>
  <c r="L46" i="31"/>
  <c r="L47" i="31"/>
  <c r="L48" i="31"/>
  <c r="L49" i="31"/>
  <c r="L50" i="31"/>
  <c r="L51" i="31"/>
  <c r="L52" i="31"/>
  <c r="L53" i="31"/>
  <c r="L54" i="31"/>
  <c r="L55" i="31"/>
  <c r="L56" i="31"/>
  <c r="L57" i="31"/>
  <c r="L58" i="31"/>
  <c r="L59" i="31"/>
  <c r="L60" i="31"/>
  <c r="L61" i="31"/>
  <c r="L62" i="31"/>
  <c r="L63" i="31"/>
  <c r="L64" i="31"/>
  <c r="L65" i="31"/>
  <c r="L66" i="31"/>
  <c r="L67" i="31"/>
  <c r="L68" i="31"/>
  <c r="L69" i="31"/>
  <c r="L70" i="31"/>
  <c r="L71" i="31"/>
  <c r="L72" i="31"/>
  <c r="L73" i="31"/>
  <c r="L74" i="31"/>
  <c r="L75" i="31"/>
  <c r="L76" i="31"/>
  <c r="L77" i="31"/>
  <c r="L78" i="31"/>
  <c r="L79" i="31"/>
  <c r="L80" i="31"/>
  <c r="L81" i="31"/>
  <c r="L82" i="31"/>
  <c r="L83" i="31"/>
  <c r="L84" i="31"/>
  <c r="L85" i="31"/>
  <c r="L86" i="31"/>
  <c r="L87" i="31"/>
  <c r="L88" i="31"/>
  <c r="L89" i="31"/>
  <c r="L90" i="31"/>
  <c r="L91" i="31"/>
  <c r="L92" i="31"/>
  <c r="L93" i="31"/>
  <c r="L94" i="31"/>
  <c r="L95" i="31"/>
  <c r="L96" i="31"/>
  <c r="L97" i="31"/>
  <c r="L98" i="31"/>
  <c r="L99" i="31"/>
  <c r="L100" i="31"/>
  <c r="L101" i="31"/>
  <c r="L102" i="31"/>
  <c r="L103" i="31"/>
  <c r="L104" i="31"/>
  <c r="L105" i="31"/>
  <c r="L106" i="31"/>
  <c r="L107" i="31"/>
  <c r="L108" i="31"/>
  <c r="L109" i="31"/>
  <c r="L110" i="31"/>
  <c r="L111" i="31"/>
  <c r="L112" i="31"/>
  <c r="L113" i="31"/>
  <c r="L114" i="31"/>
  <c r="L115" i="31"/>
  <c r="L116" i="31"/>
  <c r="L117" i="31"/>
  <c r="L118" i="31"/>
  <c r="L119" i="31"/>
  <c r="L120" i="31"/>
  <c r="L121" i="31"/>
  <c r="L122" i="31"/>
  <c r="L123" i="31"/>
  <c r="L124" i="31"/>
  <c r="L125" i="31"/>
  <c r="L126" i="31"/>
  <c r="L127" i="31"/>
  <c r="L128" i="31"/>
  <c r="L129" i="31"/>
  <c r="L130" i="31"/>
  <c r="L131" i="31"/>
  <c r="L132" i="31"/>
  <c r="L133" i="31"/>
  <c r="L134" i="31"/>
  <c r="L135" i="31"/>
  <c r="L136" i="31"/>
  <c r="L137" i="31"/>
  <c r="L138" i="31"/>
  <c r="L139" i="31"/>
  <c r="L140" i="31"/>
  <c r="L141" i="31"/>
  <c r="L142" i="31"/>
  <c r="L143" i="31"/>
  <c r="L144" i="31"/>
  <c r="L145" i="31"/>
  <c r="L146" i="31"/>
  <c r="L147" i="31"/>
  <c r="L148" i="31"/>
  <c r="L149" i="31"/>
  <c r="L150" i="31"/>
  <c r="L151" i="31"/>
  <c r="L152" i="31"/>
  <c r="L153" i="31"/>
  <c r="L154" i="31"/>
  <c r="L155" i="31"/>
  <c r="L156" i="31"/>
  <c r="L157" i="31"/>
  <c r="L158" i="31"/>
  <c r="L159" i="31"/>
  <c r="L160" i="31"/>
  <c r="L161" i="31"/>
  <c r="L162" i="31"/>
  <c r="L163" i="31"/>
  <c r="L164" i="31"/>
  <c r="L165" i="31"/>
  <c r="L166" i="31"/>
  <c r="L167" i="31"/>
  <c r="L168" i="31"/>
  <c r="L169" i="31"/>
  <c r="L170" i="31"/>
  <c r="L171" i="31"/>
  <c r="L172" i="31"/>
  <c r="L173" i="31"/>
  <c r="L174" i="31"/>
  <c r="L175" i="31"/>
  <c r="L176" i="31"/>
  <c r="L177" i="31"/>
  <c r="L178" i="31"/>
  <c r="L179" i="31"/>
  <c r="L180" i="31"/>
  <c r="L181" i="31"/>
  <c r="L182" i="31"/>
  <c r="L183" i="31"/>
  <c r="L184" i="31"/>
  <c r="L185" i="31"/>
  <c r="L186" i="31"/>
  <c r="L187" i="31"/>
  <c r="L188" i="31"/>
  <c r="L189" i="31"/>
  <c r="L190" i="31"/>
  <c r="L191" i="31"/>
  <c r="L192" i="31"/>
  <c r="L193" i="31"/>
  <c r="L194" i="31"/>
  <c r="L195" i="31"/>
  <c r="L196" i="31"/>
  <c r="L197" i="31"/>
  <c r="L198" i="31"/>
  <c r="L199" i="31"/>
  <c r="L200" i="31"/>
  <c r="L201" i="31"/>
  <c r="L202" i="31"/>
  <c r="L203" i="31"/>
  <c r="L204" i="31"/>
  <c r="L205" i="31"/>
  <c r="L206" i="31"/>
  <c r="L207" i="31"/>
  <c r="L208" i="31"/>
  <c r="L209" i="31"/>
  <c r="L210" i="31"/>
  <c r="L211" i="31"/>
  <c r="L212" i="31"/>
  <c r="L213" i="31"/>
  <c r="L214" i="31"/>
  <c r="L215" i="31"/>
  <c r="L216" i="31"/>
  <c r="L217" i="31"/>
  <c r="L218" i="31"/>
  <c r="L219" i="31"/>
  <c r="L220" i="31"/>
  <c r="L221" i="31"/>
  <c r="L222" i="31"/>
  <c r="L223" i="31"/>
  <c r="L224" i="31"/>
  <c r="L225" i="31"/>
  <c r="L226" i="31"/>
  <c r="L227" i="31"/>
  <c r="L228" i="31"/>
  <c r="L229" i="31"/>
  <c r="L230" i="31"/>
  <c r="L231" i="31"/>
  <c r="L232" i="31"/>
  <c r="L233" i="31"/>
  <c r="L234" i="31"/>
  <c r="L235" i="31"/>
  <c r="L236" i="31"/>
  <c r="L237" i="31"/>
  <c r="L238" i="31"/>
  <c r="L239" i="31"/>
  <c r="L240" i="31"/>
  <c r="L241" i="31"/>
  <c r="L242" i="31"/>
  <c r="L243" i="31"/>
  <c r="L244" i="31"/>
  <c r="L245" i="31"/>
  <c r="L246" i="31"/>
  <c r="L247" i="31"/>
  <c r="L248" i="31"/>
  <c r="L249" i="31"/>
  <c r="L250" i="31"/>
  <c r="L251" i="31"/>
  <c r="L252" i="31"/>
  <c r="L253" i="31"/>
  <c r="L254" i="31"/>
  <c r="L255" i="31"/>
  <c r="L256" i="31"/>
  <c r="L257" i="31"/>
  <c r="L258" i="31"/>
  <c r="L259" i="31"/>
  <c r="L260" i="31"/>
  <c r="L261" i="31"/>
  <c r="L262" i="31"/>
  <c r="L263" i="31"/>
  <c r="L264" i="31"/>
  <c r="L265" i="31"/>
  <c r="L266" i="31"/>
  <c r="L267" i="31"/>
  <c r="L268" i="31"/>
  <c r="L269" i="31"/>
  <c r="L270" i="31"/>
  <c r="L271" i="31"/>
  <c r="L272" i="31"/>
  <c r="L273" i="31"/>
  <c r="L274" i="31"/>
  <c r="L275" i="31"/>
  <c r="L276" i="31"/>
  <c r="L277" i="31"/>
  <c r="L278" i="31"/>
  <c r="L279" i="31"/>
  <c r="L280" i="31"/>
  <c r="L281" i="31"/>
  <c r="L282" i="31"/>
  <c r="L283" i="31"/>
  <c r="L284" i="31"/>
  <c r="L285" i="31"/>
  <c r="L286" i="31"/>
  <c r="L287" i="31"/>
  <c r="L288" i="31"/>
  <c r="L289" i="31"/>
  <c r="L290" i="31"/>
  <c r="L291" i="31"/>
  <c r="L292" i="31"/>
  <c r="L293" i="31"/>
  <c r="L294" i="31"/>
  <c r="L295" i="31"/>
  <c r="L296" i="31"/>
  <c r="L297" i="31"/>
  <c r="L298" i="31"/>
  <c r="L299" i="31"/>
  <c r="L300" i="31"/>
  <c r="L301" i="31"/>
  <c r="L302" i="31"/>
  <c r="L303" i="31"/>
  <c r="L304" i="31"/>
  <c r="L305" i="31"/>
  <c r="L306" i="31"/>
  <c r="L307" i="31"/>
  <c r="L308" i="31"/>
  <c r="L309" i="31"/>
  <c r="L310" i="31"/>
  <c r="L311" i="31"/>
  <c r="L312" i="31"/>
  <c r="L313" i="31"/>
  <c r="L314" i="31"/>
  <c r="L315" i="31"/>
  <c r="L316" i="31"/>
  <c r="L317" i="31"/>
  <c r="L318" i="31"/>
  <c r="L319" i="31"/>
  <c r="L320" i="31"/>
  <c r="L321" i="31"/>
  <c r="L322" i="31"/>
  <c r="L323" i="31"/>
  <c r="L324" i="31"/>
  <c r="L325" i="31"/>
  <c r="L326" i="31"/>
  <c r="L327" i="31"/>
  <c r="L328" i="31"/>
  <c r="L329" i="31"/>
  <c r="L330" i="31"/>
  <c r="L331" i="31"/>
  <c r="L332" i="31"/>
  <c r="L333" i="31"/>
  <c r="L334" i="31"/>
  <c r="L335" i="31"/>
  <c r="L336" i="31"/>
  <c r="L337" i="31"/>
  <c r="L338" i="31"/>
  <c r="L339" i="31"/>
  <c r="L340" i="31"/>
  <c r="L341" i="31"/>
  <c r="L342" i="31"/>
  <c r="L343" i="31"/>
  <c r="L344" i="31"/>
  <c r="L345" i="31"/>
  <c r="L346" i="31"/>
  <c r="L347" i="31"/>
  <c r="L348" i="31"/>
  <c r="L349" i="31"/>
  <c r="L350" i="31"/>
  <c r="L351" i="31"/>
  <c r="L352" i="31"/>
  <c r="L353" i="31"/>
  <c r="L354" i="31"/>
  <c r="L355" i="31"/>
  <c r="L356" i="31"/>
  <c r="L357" i="31"/>
  <c r="L358" i="31"/>
  <c r="L359" i="31"/>
  <c r="L360" i="31"/>
  <c r="L361" i="31"/>
  <c r="L362" i="31"/>
  <c r="L363" i="31"/>
  <c r="L364" i="31"/>
  <c r="L365" i="31"/>
  <c r="L366" i="31"/>
  <c r="L367" i="31"/>
  <c r="L368" i="31"/>
  <c r="L369" i="31"/>
  <c r="L370" i="31"/>
  <c r="L371" i="31"/>
  <c r="L372" i="31"/>
  <c r="L373" i="31"/>
  <c r="L374" i="31"/>
  <c r="L375" i="31"/>
  <c r="L376" i="31"/>
  <c r="L377" i="31"/>
  <c r="L378" i="31"/>
  <c r="L379" i="31"/>
  <c r="L380" i="31"/>
  <c r="L381" i="31"/>
  <c r="L382" i="31"/>
  <c r="L383" i="31"/>
  <c r="L384" i="31"/>
  <c r="L385" i="31"/>
  <c r="L386" i="31"/>
  <c r="L387" i="31"/>
  <c r="L388" i="31"/>
  <c r="L389" i="31"/>
  <c r="L390" i="31"/>
  <c r="L391" i="31"/>
  <c r="L392" i="31"/>
  <c r="L393" i="31"/>
  <c r="L394" i="31"/>
  <c r="L395" i="31"/>
  <c r="L396" i="31"/>
  <c r="L397" i="31"/>
  <c r="L398" i="31"/>
  <c r="L399" i="31"/>
  <c r="L400" i="31"/>
  <c r="L401" i="31"/>
  <c r="L402" i="31"/>
  <c r="L403" i="31"/>
  <c r="L404" i="31"/>
  <c r="L405" i="31"/>
  <c r="L406" i="31"/>
  <c r="L407" i="31"/>
  <c r="L408" i="31"/>
  <c r="L409" i="31"/>
  <c r="L410" i="31"/>
  <c r="L411" i="31"/>
  <c r="L412" i="31"/>
  <c r="L413" i="31"/>
  <c r="L414" i="31"/>
  <c r="L415" i="31"/>
  <c r="L416" i="31"/>
  <c r="L417" i="31"/>
  <c r="L418" i="31"/>
  <c r="L419" i="31"/>
  <c r="L420" i="31"/>
  <c r="L421" i="31"/>
  <c r="L422" i="31"/>
  <c r="L423" i="31"/>
  <c r="L424" i="31"/>
  <c r="L425" i="31"/>
  <c r="L426" i="31"/>
  <c r="L427" i="31"/>
  <c r="L428" i="31"/>
  <c r="L429" i="31"/>
  <c r="L430" i="31"/>
  <c r="L431" i="31"/>
  <c r="L432" i="31"/>
  <c r="L433" i="31"/>
  <c r="L434" i="31"/>
  <c r="L435" i="31"/>
  <c r="L436" i="31"/>
  <c r="G32" i="30" l="1"/>
  <c r="G28" i="30" l="1"/>
  <c r="G29" i="30"/>
  <c r="G33" i="30"/>
  <c r="G27" i="30"/>
  <c r="G26" i="30"/>
  <c r="G30" i="30"/>
  <c r="G31" i="30"/>
  <c r="J2" i="31"/>
  <c r="J3" i="31"/>
  <c r="J4" i="31"/>
  <c r="J5" i="31"/>
  <c r="J6" i="31"/>
  <c r="J7" i="31"/>
  <c r="J8" i="31"/>
  <c r="J9" i="31"/>
  <c r="J10" i="31"/>
  <c r="J11" i="31"/>
  <c r="J12" i="31"/>
  <c r="J13" i="31"/>
  <c r="J14" i="31"/>
  <c r="J15" i="31"/>
  <c r="J16" i="31"/>
  <c r="J17" i="31"/>
  <c r="J18" i="31"/>
  <c r="J19" i="31"/>
  <c r="J20" i="31"/>
  <c r="J21" i="31"/>
  <c r="J22" i="31"/>
  <c r="J23" i="31"/>
  <c r="J24" i="31"/>
  <c r="J25" i="31"/>
  <c r="J26" i="31"/>
  <c r="J27" i="31"/>
  <c r="J28" i="31"/>
  <c r="J29" i="31"/>
  <c r="J30" i="31"/>
  <c r="J31" i="31"/>
  <c r="J32" i="31"/>
  <c r="J33" i="31"/>
  <c r="J34" i="31"/>
  <c r="J35" i="31"/>
  <c r="J36" i="31"/>
  <c r="J37" i="31"/>
  <c r="J38" i="31"/>
  <c r="J39" i="31"/>
  <c r="J40" i="31"/>
  <c r="J41" i="31"/>
  <c r="J42" i="31"/>
  <c r="J43" i="31"/>
  <c r="J44" i="31"/>
  <c r="J45" i="31"/>
  <c r="J46" i="31"/>
  <c r="J47" i="31"/>
  <c r="J48" i="31"/>
  <c r="J49" i="31"/>
  <c r="J50" i="31"/>
  <c r="J51" i="31"/>
  <c r="J52" i="31"/>
  <c r="J53" i="31"/>
  <c r="J54" i="31"/>
  <c r="J55" i="31"/>
  <c r="J56" i="31"/>
  <c r="J57" i="31"/>
  <c r="J58" i="31"/>
  <c r="J59" i="31"/>
  <c r="J60" i="31"/>
  <c r="J61" i="31"/>
  <c r="J62" i="31"/>
  <c r="J63" i="31"/>
  <c r="J64" i="31"/>
  <c r="J65" i="31"/>
  <c r="J66" i="31"/>
  <c r="J67" i="31"/>
  <c r="J68" i="31"/>
  <c r="J69" i="31"/>
  <c r="J70" i="31"/>
  <c r="J71" i="31"/>
  <c r="J72" i="31"/>
  <c r="J73" i="31"/>
  <c r="J74" i="31"/>
  <c r="J75" i="31"/>
  <c r="J76" i="31"/>
  <c r="J77" i="31"/>
  <c r="J78" i="31"/>
  <c r="J79" i="31"/>
  <c r="J80" i="31"/>
  <c r="J81" i="31"/>
  <c r="J82" i="31"/>
  <c r="J83" i="31"/>
  <c r="J84" i="31"/>
  <c r="J85" i="31"/>
  <c r="J86" i="31"/>
  <c r="J87" i="31"/>
  <c r="J88" i="31"/>
  <c r="J89" i="31"/>
  <c r="J90" i="31"/>
  <c r="J91" i="31"/>
  <c r="J92" i="31"/>
  <c r="J93" i="31"/>
  <c r="J94" i="31"/>
  <c r="J95" i="31"/>
  <c r="J96" i="31"/>
  <c r="J97" i="31"/>
  <c r="J98" i="31"/>
  <c r="J99" i="31"/>
  <c r="J100" i="31"/>
  <c r="J101" i="31"/>
  <c r="J102" i="31"/>
  <c r="J103" i="31"/>
  <c r="J104" i="31"/>
  <c r="J105" i="31"/>
  <c r="J106" i="31"/>
  <c r="J107" i="31"/>
  <c r="J108" i="31"/>
  <c r="J109" i="31"/>
  <c r="J110" i="31"/>
  <c r="J111" i="31"/>
  <c r="J112" i="31"/>
  <c r="J113" i="31"/>
  <c r="J114" i="31"/>
  <c r="J115" i="31"/>
  <c r="J116" i="31"/>
  <c r="J117" i="31"/>
  <c r="J118" i="31"/>
  <c r="J119" i="31"/>
  <c r="J120" i="31"/>
  <c r="J121" i="31"/>
  <c r="J122" i="31"/>
  <c r="J123" i="31"/>
  <c r="J124" i="31"/>
  <c r="J125" i="31"/>
  <c r="J126" i="31"/>
  <c r="J127" i="31"/>
  <c r="J128" i="31"/>
  <c r="J129" i="31"/>
  <c r="J130" i="31"/>
  <c r="J131" i="31"/>
  <c r="J132" i="31"/>
  <c r="J133" i="31"/>
  <c r="J134" i="31"/>
  <c r="J135" i="31"/>
  <c r="J136" i="31"/>
  <c r="J137" i="31"/>
  <c r="J138" i="31"/>
  <c r="J139" i="31"/>
  <c r="J140" i="31"/>
  <c r="J141" i="31"/>
  <c r="J142" i="31"/>
  <c r="J143" i="31"/>
  <c r="J144" i="31"/>
  <c r="J145" i="31"/>
  <c r="J146" i="31"/>
  <c r="J147" i="31"/>
  <c r="J148" i="31"/>
  <c r="J149" i="31"/>
  <c r="J150" i="31"/>
  <c r="J151" i="31"/>
  <c r="J152" i="31"/>
  <c r="J153" i="31"/>
  <c r="J154" i="31"/>
  <c r="J155" i="31"/>
  <c r="J156" i="31"/>
  <c r="J157" i="31"/>
  <c r="J158" i="31"/>
  <c r="J159" i="31"/>
  <c r="J160" i="31"/>
  <c r="J161" i="31"/>
  <c r="J162" i="31"/>
  <c r="J163" i="31"/>
  <c r="J164" i="31"/>
  <c r="J165" i="31"/>
  <c r="J166" i="31"/>
  <c r="J167" i="31"/>
  <c r="J168" i="31"/>
  <c r="J169" i="31"/>
  <c r="J170" i="31"/>
  <c r="J171" i="31"/>
  <c r="J172" i="31"/>
  <c r="J173" i="31"/>
  <c r="J174" i="31"/>
  <c r="J175" i="31"/>
  <c r="J176" i="31"/>
  <c r="J177" i="31"/>
  <c r="J178" i="31"/>
  <c r="J179" i="31"/>
  <c r="J180" i="31"/>
  <c r="J181" i="31"/>
  <c r="J182" i="31"/>
  <c r="J183" i="31"/>
  <c r="J184" i="31"/>
  <c r="J185" i="31"/>
  <c r="J186" i="31"/>
  <c r="J187" i="31"/>
  <c r="J188" i="31"/>
  <c r="J189" i="31"/>
  <c r="J190" i="31"/>
  <c r="J191" i="31"/>
  <c r="J192" i="31"/>
  <c r="J193" i="31"/>
  <c r="J194" i="31"/>
  <c r="J195" i="31"/>
  <c r="J196" i="31"/>
  <c r="J197" i="31"/>
  <c r="J198" i="31"/>
  <c r="J199" i="31"/>
  <c r="J200" i="31"/>
  <c r="J201" i="31"/>
  <c r="J202" i="31"/>
  <c r="J203" i="31"/>
  <c r="J204" i="31"/>
  <c r="J205" i="31"/>
  <c r="J206" i="31"/>
  <c r="J207" i="31"/>
  <c r="J208" i="31"/>
  <c r="J209" i="31"/>
  <c r="J210" i="31"/>
  <c r="J211" i="31"/>
  <c r="J212" i="31"/>
  <c r="J213" i="31"/>
  <c r="J214" i="31"/>
  <c r="J215" i="31"/>
  <c r="J216" i="31"/>
  <c r="J217" i="31"/>
  <c r="J218" i="31"/>
  <c r="J219" i="31"/>
  <c r="J220" i="31"/>
  <c r="J221" i="31"/>
  <c r="J222" i="31"/>
  <c r="J223" i="31"/>
  <c r="J224" i="31"/>
  <c r="J225" i="31"/>
  <c r="J226" i="31"/>
  <c r="J227" i="31"/>
  <c r="J228" i="31"/>
  <c r="J229" i="31"/>
  <c r="J230" i="31"/>
  <c r="J231" i="31"/>
  <c r="J232" i="31"/>
  <c r="J233" i="31"/>
  <c r="J234" i="31"/>
  <c r="J235" i="31"/>
  <c r="J236" i="31"/>
  <c r="J237" i="31"/>
  <c r="J238" i="31"/>
  <c r="J239" i="31"/>
  <c r="J240" i="31"/>
  <c r="J241" i="31"/>
  <c r="J242" i="31"/>
  <c r="J243" i="31"/>
  <c r="J244" i="31"/>
  <c r="J245" i="31"/>
  <c r="J246" i="31"/>
  <c r="J247" i="31"/>
  <c r="J248" i="31"/>
  <c r="J249" i="31"/>
  <c r="J250" i="31"/>
  <c r="J251" i="31"/>
  <c r="J252" i="31"/>
  <c r="J253" i="31"/>
  <c r="J254" i="31"/>
  <c r="J255" i="31"/>
  <c r="J256" i="31"/>
  <c r="J257" i="31"/>
  <c r="J258" i="31"/>
  <c r="J259" i="31"/>
  <c r="J260" i="31"/>
  <c r="J261" i="31"/>
  <c r="J262" i="31"/>
  <c r="J263" i="31"/>
  <c r="J264" i="31"/>
  <c r="J265" i="31"/>
  <c r="J266" i="31"/>
  <c r="J267" i="31"/>
  <c r="J268" i="31"/>
  <c r="J269" i="31"/>
  <c r="J270" i="31"/>
  <c r="J271" i="31"/>
  <c r="J272" i="31"/>
  <c r="J273" i="31"/>
  <c r="J274" i="31"/>
  <c r="J275" i="31"/>
  <c r="J276" i="31"/>
  <c r="J277" i="31"/>
  <c r="J278" i="31"/>
  <c r="J279" i="31"/>
  <c r="J280" i="31"/>
  <c r="J281" i="31"/>
  <c r="J282" i="31"/>
  <c r="J283" i="31"/>
  <c r="J284" i="31"/>
  <c r="J285" i="31"/>
  <c r="J286" i="31"/>
  <c r="J287" i="31"/>
  <c r="J288" i="31"/>
  <c r="J289" i="31"/>
  <c r="J290" i="31"/>
  <c r="J291" i="31"/>
  <c r="J292" i="31"/>
  <c r="J293" i="31"/>
  <c r="J294" i="31"/>
  <c r="J295" i="31"/>
  <c r="J296" i="31"/>
  <c r="J297" i="31"/>
  <c r="J298" i="31"/>
  <c r="J299" i="31"/>
  <c r="J300" i="31"/>
  <c r="J301" i="31"/>
  <c r="J302" i="31"/>
  <c r="J303" i="31"/>
  <c r="J304" i="31"/>
  <c r="J305" i="31"/>
  <c r="J306" i="31"/>
  <c r="J307" i="31"/>
  <c r="J308" i="31"/>
  <c r="J309" i="31"/>
  <c r="J310" i="31"/>
  <c r="J311" i="31"/>
  <c r="J312" i="31"/>
  <c r="J313" i="31"/>
  <c r="J314" i="31"/>
  <c r="J315" i="31"/>
  <c r="J316" i="31"/>
  <c r="J317" i="31"/>
  <c r="J318" i="31"/>
  <c r="J319" i="31"/>
  <c r="J320" i="31"/>
  <c r="J321" i="31"/>
  <c r="J322" i="31"/>
  <c r="J323" i="31"/>
  <c r="J324" i="31"/>
  <c r="J325" i="31"/>
  <c r="J326" i="31"/>
  <c r="J327" i="31"/>
  <c r="J328" i="31"/>
  <c r="J329" i="31"/>
  <c r="J330" i="31"/>
  <c r="J331" i="31"/>
  <c r="J332" i="31"/>
  <c r="J333" i="31"/>
  <c r="J334" i="31"/>
  <c r="J335" i="31"/>
  <c r="J336" i="31"/>
  <c r="J337" i="31"/>
  <c r="J338" i="31"/>
  <c r="J339" i="31"/>
  <c r="J340" i="31"/>
  <c r="J341" i="31"/>
  <c r="J342" i="31"/>
  <c r="J343" i="31"/>
  <c r="J344" i="31"/>
  <c r="J345" i="31"/>
  <c r="J346" i="31"/>
  <c r="J347" i="31"/>
  <c r="J348" i="31"/>
  <c r="J349" i="31"/>
  <c r="J350" i="31"/>
  <c r="J351" i="31"/>
  <c r="J352" i="31"/>
  <c r="J353" i="31"/>
  <c r="J354" i="31"/>
  <c r="J355" i="31"/>
  <c r="J356" i="31"/>
  <c r="J357" i="31"/>
  <c r="J358" i="31"/>
  <c r="J359" i="31"/>
  <c r="J360" i="31"/>
  <c r="J361" i="31"/>
  <c r="J362" i="31"/>
  <c r="J363" i="31"/>
  <c r="J364" i="31"/>
  <c r="J365" i="31"/>
  <c r="J366" i="31"/>
  <c r="J367" i="31"/>
  <c r="J368" i="31"/>
  <c r="J369" i="31"/>
  <c r="J370" i="31"/>
  <c r="J371" i="31"/>
  <c r="J372" i="31"/>
  <c r="J373" i="31"/>
  <c r="J374" i="31"/>
  <c r="J375" i="31"/>
  <c r="J376" i="31"/>
  <c r="J377" i="31"/>
  <c r="J378" i="31"/>
  <c r="J379" i="31"/>
  <c r="J380" i="31"/>
  <c r="J381" i="31"/>
  <c r="J382" i="31"/>
  <c r="J383" i="31"/>
  <c r="J384" i="31"/>
  <c r="J385" i="31"/>
  <c r="J386" i="31"/>
  <c r="J387" i="31"/>
  <c r="J388" i="31"/>
  <c r="J389" i="31"/>
  <c r="J390" i="31"/>
  <c r="J391" i="31"/>
  <c r="J392" i="31"/>
  <c r="J393" i="31"/>
  <c r="J394" i="31"/>
  <c r="J395" i="31"/>
  <c r="J396" i="31"/>
  <c r="J397" i="31"/>
  <c r="J398" i="31"/>
  <c r="J399" i="31"/>
  <c r="J400" i="31"/>
  <c r="J401" i="31"/>
  <c r="J402" i="31"/>
  <c r="J403" i="31"/>
  <c r="J404" i="31"/>
  <c r="J405" i="31"/>
  <c r="J406" i="31"/>
  <c r="J407" i="31"/>
  <c r="J408" i="31"/>
  <c r="J409" i="31"/>
  <c r="J410" i="31"/>
  <c r="J411" i="31"/>
  <c r="J412" i="31"/>
  <c r="J413" i="31"/>
  <c r="J414" i="31"/>
  <c r="J415" i="31"/>
  <c r="J416" i="31"/>
  <c r="J417" i="31"/>
  <c r="J418" i="31"/>
  <c r="J419" i="31"/>
  <c r="J420" i="31"/>
  <c r="J421" i="31"/>
  <c r="J422" i="31"/>
  <c r="J423" i="31"/>
  <c r="J424" i="31"/>
  <c r="J425" i="31"/>
  <c r="J426" i="31"/>
  <c r="J427" i="31"/>
  <c r="J428" i="31"/>
  <c r="J429" i="31"/>
  <c r="J430" i="31"/>
  <c r="J431" i="31"/>
  <c r="J432" i="31"/>
  <c r="J433" i="31"/>
  <c r="J434" i="31"/>
  <c r="J435" i="31"/>
  <c r="J436" i="31"/>
  <c r="K2" i="31"/>
  <c r="K3" i="31"/>
  <c r="K4" i="31"/>
  <c r="K5" i="31"/>
  <c r="K6" i="31"/>
  <c r="K7" i="31"/>
  <c r="K8" i="31"/>
  <c r="K9" i="31"/>
  <c r="K10" i="31"/>
  <c r="K11" i="31"/>
  <c r="K12" i="31"/>
  <c r="K13" i="31"/>
  <c r="K14" i="31"/>
  <c r="K15" i="31"/>
  <c r="K16" i="31"/>
  <c r="K17" i="31"/>
  <c r="K18" i="31"/>
  <c r="K19" i="31"/>
  <c r="K20" i="31"/>
  <c r="K21" i="31"/>
  <c r="K22" i="31"/>
  <c r="K23" i="31"/>
  <c r="K24" i="31"/>
  <c r="K25" i="31"/>
  <c r="K26" i="31"/>
  <c r="K27" i="31"/>
  <c r="K28" i="31"/>
  <c r="K29" i="31"/>
  <c r="K30" i="31"/>
  <c r="K31" i="31"/>
  <c r="K32" i="31"/>
  <c r="K33" i="31"/>
  <c r="K34" i="31"/>
  <c r="K35" i="31"/>
  <c r="K36" i="31"/>
  <c r="K37" i="31"/>
  <c r="K38" i="31"/>
  <c r="K39" i="31"/>
  <c r="K40" i="31"/>
  <c r="K41" i="31"/>
  <c r="K42" i="31"/>
  <c r="K43" i="31"/>
  <c r="K44" i="31"/>
  <c r="K45" i="31"/>
  <c r="K46" i="31"/>
  <c r="K47" i="31"/>
  <c r="K48" i="31"/>
  <c r="K49" i="31"/>
  <c r="K50" i="31"/>
  <c r="K51" i="31"/>
  <c r="K52" i="31"/>
  <c r="K53" i="31"/>
  <c r="K54" i="31"/>
  <c r="K55" i="31"/>
  <c r="K56" i="31"/>
  <c r="K57" i="31"/>
  <c r="K58" i="31"/>
  <c r="K59" i="31"/>
  <c r="K60" i="31"/>
  <c r="K61" i="31"/>
  <c r="K62" i="31"/>
  <c r="K63" i="31"/>
  <c r="K64" i="31"/>
  <c r="K65" i="31"/>
  <c r="K66" i="31"/>
  <c r="K67" i="31"/>
  <c r="K68" i="31"/>
  <c r="K69" i="31"/>
  <c r="K70" i="31"/>
  <c r="K71" i="31"/>
  <c r="K72" i="31"/>
  <c r="K73" i="31"/>
  <c r="K74" i="31"/>
  <c r="K75" i="31"/>
  <c r="K76" i="31"/>
  <c r="K77" i="31"/>
  <c r="K78" i="31"/>
  <c r="K79" i="31"/>
  <c r="K80" i="31"/>
  <c r="K81" i="31"/>
  <c r="K82" i="31"/>
  <c r="K83" i="31"/>
  <c r="K84" i="31"/>
  <c r="K85" i="31"/>
  <c r="K86" i="31"/>
  <c r="K87" i="31"/>
  <c r="K88" i="31"/>
  <c r="K89" i="31"/>
  <c r="K90" i="31"/>
  <c r="K91" i="31"/>
  <c r="K92" i="31"/>
  <c r="K93" i="31"/>
  <c r="K94" i="31"/>
  <c r="K95" i="31"/>
  <c r="K96" i="31"/>
  <c r="K97" i="31"/>
  <c r="K98" i="31"/>
  <c r="K99" i="31"/>
  <c r="K100" i="31"/>
  <c r="K101" i="31"/>
  <c r="K102" i="31"/>
  <c r="K103" i="31"/>
  <c r="K104" i="31"/>
  <c r="K105" i="31"/>
  <c r="K106" i="31"/>
  <c r="K107" i="31"/>
  <c r="K108" i="31"/>
  <c r="K109" i="31"/>
  <c r="K110" i="31"/>
  <c r="K111" i="31"/>
  <c r="K112" i="31"/>
  <c r="K113" i="31"/>
  <c r="K114" i="31"/>
  <c r="K115" i="31"/>
  <c r="K116" i="31"/>
  <c r="K117" i="31"/>
  <c r="K118" i="31"/>
  <c r="K119" i="31"/>
  <c r="K120" i="31"/>
  <c r="K121" i="31"/>
  <c r="K122" i="31"/>
  <c r="K123" i="31"/>
  <c r="K124" i="31"/>
  <c r="K125" i="31"/>
  <c r="K126" i="31"/>
  <c r="K127" i="31"/>
  <c r="K128" i="31"/>
  <c r="K129" i="31"/>
  <c r="K130" i="31"/>
  <c r="K131" i="31"/>
  <c r="K132" i="31"/>
  <c r="K133" i="31"/>
  <c r="K134" i="31"/>
  <c r="K135" i="31"/>
  <c r="K136" i="31"/>
  <c r="K137" i="31"/>
  <c r="K138" i="31"/>
  <c r="K139" i="31"/>
  <c r="K140" i="31"/>
  <c r="K141" i="31"/>
  <c r="K142" i="31"/>
  <c r="K143" i="31"/>
  <c r="K144" i="31"/>
  <c r="K145" i="31"/>
  <c r="K146" i="31"/>
  <c r="K147" i="31"/>
  <c r="K148" i="31"/>
  <c r="K149" i="31"/>
  <c r="K150" i="31"/>
  <c r="K151" i="31"/>
  <c r="K152" i="31"/>
  <c r="K153" i="31"/>
  <c r="K154" i="31"/>
  <c r="K155" i="31"/>
  <c r="K156" i="31"/>
  <c r="K157" i="31"/>
  <c r="K158" i="31"/>
  <c r="K159" i="31"/>
  <c r="K160" i="31"/>
  <c r="K161" i="31"/>
  <c r="K162" i="31"/>
  <c r="K163" i="31"/>
  <c r="K164" i="31"/>
  <c r="K165" i="31"/>
  <c r="K166" i="31"/>
  <c r="K167" i="31"/>
  <c r="K168" i="31"/>
  <c r="K169" i="31"/>
  <c r="K170" i="31"/>
  <c r="K171" i="31"/>
  <c r="K172" i="31"/>
  <c r="K173" i="31"/>
  <c r="K174" i="31"/>
  <c r="K175" i="31"/>
  <c r="K176" i="31"/>
  <c r="K177" i="31"/>
  <c r="K178" i="31"/>
  <c r="K179" i="31"/>
  <c r="K180" i="31"/>
  <c r="K181" i="31"/>
  <c r="K182" i="31"/>
  <c r="K183" i="31"/>
  <c r="K184" i="31"/>
  <c r="K185" i="31"/>
  <c r="K186" i="31"/>
  <c r="K187" i="31"/>
  <c r="K188" i="31"/>
  <c r="K189" i="31"/>
  <c r="K190" i="31"/>
  <c r="K191" i="31"/>
  <c r="K192" i="31"/>
  <c r="K193" i="31"/>
  <c r="K194" i="31"/>
  <c r="K195" i="31"/>
  <c r="K196" i="31"/>
  <c r="K197" i="31"/>
  <c r="K198" i="31"/>
  <c r="K199" i="31"/>
  <c r="K200" i="31"/>
  <c r="K201" i="31"/>
  <c r="K202" i="31"/>
  <c r="K203" i="31"/>
  <c r="K204" i="31"/>
  <c r="K205" i="31"/>
  <c r="K206" i="31"/>
  <c r="K207" i="31"/>
  <c r="K208" i="31"/>
  <c r="K209" i="31"/>
  <c r="K210" i="31"/>
  <c r="K211" i="31"/>
  <c r="K212" i="31"/>
  <c r="K213" i="31"/>
  <c r="K214" i="31"/>
  <c r="K215" i="31"/>
  <c r="K216" i="31"/>
  <c r="K217" i="31"/>
  <c r="K218" i="31"/>
  <c r="K219" i="31"/>
  <c r="K220" i="31"/>
  <c r="K221" i="31"/>
  <c r="K222" i="31"/>
  <c r="K223" i="31"/>
  <c r="K224" i="31"/>
  <c r="K225" i="31"/>
  <c r="K226" i="31"/>
  <c r="K227" i="31"/>
  <c r="K228" i="31"/>
  <c r="K229" i="31"/>
  <c r="K230" i="31"/>
  <c r="K231" i="31"/>
  <c r="K232" i="31"/>
  <c r="K233" i="31"/>
  <c r="K234" i="31"/>
  <c r="K235" i="31"/>
  <c r="K236" i="31"/>
  <c r="K237" i="31"/>
  <c r="K238" i="31"/>
  <c r="K239" i="31"/>
  <c r="K240" i="31"/>
  <c r="K241" i="31"/>
  <c r="K242" i="31"/>
  <c r="K243" i="31"/>
  <c r="K244" i="31"/>
  <c r="K245" i="31"/>
  <c r="K246" i="31"/>
  <c r="K247" i="31"/>
  <c r="K248" i="31"/>
  <c r="K249" i="31"/>
  <c r="K250" i="31"/>
  <c r="K251" i="31"/>
  <c r="K252" i="31"/>
  <c r="K253" i="31"/>
  <c r="K254" i="31"/>
  <c r="K255" i="31"/>
  <c r="K256" i="31"/>
  <c r="K257" i="31"/>
  <c r="K258" i="31"/>
  <c r="K259" i="31"/>
  <c r="K260" i="31"/>
  <c r="K261" i="31"/>
  <c r="K262" i="31"/>
  <c r="K263" i="31"/>
  <c r="K264" i="31"/>
  <c r="K265" i="31"/>
  <c r="K266" i="31"/>
  <c r="K267" i="31"/>
  <c r="K268" i="31"/>
  <c r="K269" i="31"/>
  <c r="K270" i="31"/>
  <c r="K271" i="31"/>
  <c r="K272" i="31"/>
  <c r="K273" i="31"/>
  <c r="K274" i="31"/>
  <c r="K275" i="31"/>
  <c r="K276" i="31"/>
  <c r="K277" i="31"/>
  <c r="K278" i="31"/>
  <c r="K279" i="31"/>
  <c r="K280" i="31"/>
  <c r="K281" i="31"/>
  <c r="K282" i="31"/>
  <c r="K283" i="31"/>
  <c r="K284" i="31"/>
  <c r="K285" i="31"/>
  <c r="K286" i="31"/>
  <c r="K287" i="31"/>
  <c r="K288" i="31"/>
  <c r="K289" i="31"/>
  <c r="K290" i="31"/>
  <c r="K291" i="31"/>
  <c r="K292" i="31"/>
  <c r="K293" i="31"/>
  <c r="K294" i="31"/>
  <c r="K295" i="31"/>
  <c r="K296" i="31"/>
  <c r="K297" i="31"/>
  <c r="K298" i="31"/>
  <c r="K299" i="31"/>
  <c r="K300" i="31"/>
  <c r="K301" i="31"/>
  <c r="K302" i="31"/>
  <c r="K303" i="31"/>
  <c r="K304" i="31"/>
  <c r="K305" i="31"/>
  <c r="K306" i="31"/>
  <c r="K307" i="31"/>
  <c r="K308" i="31"/>
  <c r="K309" i="31"/>
  <c r="K310" i="31"/>
  <c r="K311" i="31"/>
  <c r="K312" i="31"/>
  <c r="K313" i="31"/>
  <c r="K314" i="31"/>
  <c r="K315" i="31"/>
  <c r="K316" i="31"/>
  <c r="K317" i="31"/>
  <c r="K318" i="31"/>
  <c r="K319" i="31"/>
  <c r="K320" i="31"/>
  <c r="K321" i="31"/>
  <c r="K322" i="31"/>
  <c r="K323" i="31"/>
  <c r="K324" i="31"/>
  <c r="K325" i="31"/>
  <c r="K326" i="31"/>
  <c r="K327" i="31"/>
  <c r="K328" i="31"/>
  <c r="K329" i="31"/>
  <c r="K330" i="31"/>
  <c r="K331" i="31"/>
  <c r="K332" i="31"/>
  <c r="K333" i="31"/>
  <c r="K334" i="31"/>
  <c r="K335" i="31"/>
  <c r="K336" i="31"/>
  <c r="K337" i="31"/>
  <c r="K338" i="31"/>
  <c r="K339" i="31"/>
  <c r="K340" i="31"/>
  <c r="K341" i="31"/>
  <c r="K342" i="31"/>
  <c r="K343" i="31"/>
  <c r="K344" i="31"/>
  <c r="K345" i="31"/>
  <c r="K346" i="31"/>
  <c r="K347" i="31"/>
  <c r="K348" i="31"/>
  <c r="K349" i="31"/>
  <c r="K350" i="31"/>
  <c r="K351" i="31"/>
  <c r="K352" i="31"/>
  <c r="K353" i="31"/>
  <c r="K354" i="31"/>
  <c r="K355" i="31"/>
  <c r="K356" i="31"/>
  <c r="K357" i="31"/>
  <c r="K358" i="31"/>
  <c r="K359" i="31"/>
  <c r="K360" i="31"/>
  <c r="K361" i="31"/>
  <c r="K362" i="31"/>
  <c r="K363" i="31"/>
  <c r="K364" i="31"/>
  <c r="K365" i="31"/>
  <c r="K366" i="31"/>
  <c r="K367" i="31"/>
  <c r="K368" i="31"/>
  <c r="K369" i="31"/>
  <c r="K370" i="31"/>
  <c r="K371" i="31"/>
  <c r="K372" i="31"/>
  <c r="K373" i="31"/>
  <c r="K374" i="31"/>
  <c r="K375" i="31"/>
  <c r="K376" i="31"/>
  <c r="K377" i="31"/>
  <c r="K378" i="31"/>
  <c r="K379" i="31"/>
  <c r="K380" i="31"/>
  <c r="K381" i="31"/>
  <c r="K382" i="31"/>
  <c r="K383" i="31"/>
  <c r="K384" i="31"/>
  <c r="K385" i="31"/>
  <c r="K386" i="31"/>
  <c r="K387" i="31"/>
  <c r="K388" i="31"/>
  <c r="K389" i="31"/>
  <c r="K390" i="31"/>
  <c r="K391" i="31"/>
  <c r="K392" i="31"/>
  <c r="K393" i="31"/>
  <c r="K394" i="31"/>
  <c r="K395" i="31"/>
  <c r="K396" i="31"/>
  <c r="K397" i="31"/>
  <c r="K398" i="31"/>
  <c r="K399" i="31"/>
  <c r="K400" i="31"/>
  <c r="K401" i="31"/>
  <c r="K402" i="31"/>
  <c r="K403" i="31"/>
  <c r="K404" i="31"/>
  <c r="K405" i="31"/>
  <c r="K406" i="31"/>
  <c r="K407" i="31"/>
  <c r="K408" i="31"/>
  <c r="K409" i="31"/>
  <c r="K410" i="31"/>
  <c r="K411" i="31"/>
  <c r="K412" i="31"/>
  <c r="K413" i="31"/>
  <c r="K414" i="31"/>
  <c r="K415" i="31"/>
  <c r="K416" i="31"/>
  <c r="K417" i="31"/>
  <c r="K418" i="31"/>
  <c r="K419" i="31"/>
  <c r="K420" i="31"/>
  <c r="K421" i="31"/>
  <c r="K422" i="31"/>
  <c r="K423" i="31"/>
  <c r="K424" i="31"/>
  <c r="K425" i="31"/>
  <c r="K426" i="31"/>
  <c r="K427" i="31"/>
  <c r="K428" i="31"/>
  <c r="K429" i="31"/>
  <c r="K430" i="31"/>
  <c r="K431" i="31"/>
  <c r="K432" i="31"/>
  <c r="K433" i="31"/>
  <c r="K434" i="31"/>
  <c r="K435" i="31"/>
  <c r="K436" i="31"/>
  <c r="P17" i="21" l="1"/>
  <c r="P47" i="21"/>
  <c r="P41" i="21"/>
  <c r="P43" i="21"/>
  <c r="P22" i="21"/>
  <c r="P27" i="21"/>
  <c r="P49" i="21"/>
  <c r="P11" i="21"/>
  <c r="P12" i="21"/>
  <c r="P35" i="21"/>
  <c r="P48" i="21"/>
  <c r="P52" i="21"/>
  <c r="P42" i="21"/>
  <c r="P36" i="21"/>
  <c r="P37" i="21"/>
  <c r="P16" i="21"/>
  <c r="N792" i="14"/>
  <c r="N791" i="14"/>
  <c r="N790" i="14"/>
  <c r="N789" i="14"/>
  <c r="N788" i="14"/>
  <c r="N787" i="14"/>
  <c r="N786" i="14"/>
  <c r="N785" i="14"/>
  <c r="N784" i="14"/>
  <c r="N783" i="14"/>
  <c r="N782" i="14"/>
  <c r="N781" i="14"/>
  <c r="N780" i="14"/>
  <c r="N779" i="14"/>
  <c r="N778" i="14"/>
  <c r="N777" i="14"/>
  <c r="N776" i="14"/>
  <c r="N775" i="14"/>
  <c r="N774" i="14"/>
  <c r="N773" i="14"/>
  <c r="N772" i="14"/>
  <c r="N771" i="14"/>
  <c r="N770" i="14"/>
  <c r="N769" i="14"/>
  <c r="N768" i="14"/>
  <c r="N767" i="14"/>
  <c r="N766" i="14"/>
  <c r="N765" i="14"/>
  <c r="N764" i="14"/>
  <c r="N763" i="14"/>
  <c r="N762" i="14"/>
  <c r="N761" i="14"/>
  <c r="N760" i="14"/>
  <c r="N759" i="14"/>
  <c r="N758" i="14"/>
  <c r="N757" i="14"/>
  <c r="N756" i="14"/>
  <c r="N755" i="14"/>
  <c r="N754" i="14"/>
  <c r="N753" i="14"/>
  <c r="N752" i="14"/>
  <c r="N751" i="14"/>
  <c r="N750" i="14"/>
  <c r="N749" i="14"/>
  <c r="N748" i="14"/>
  <c r="N747" i="14"/>
  <c r="N746" i="14"/>
  <c r="N745" i="14"/>
  <c r="N744" i="14"/>
  <c r="N743" i="14"/>
  <c r="N742" i="14"/>
  <c r="N741" i="14"/>
  <c r="N740" i="14"/>
  <c r="N739" i="14"/>
  <c r="N738" i="14"/>
  <c r="N737" i="14"/>
  <c r="N736" i="14"/>
  <c r="N735" i="14"/>
  <c r="N734" i="14"/>
  <c r="N733" i="14"/>
  <c r="N732" i="14"/>
  <c r="N731" i="14"/>
  <c r="N730" i="14"/>
  <c r="N729" i="14"/>
  <c r="N728" i="14"/>
  <c r="N727" i="14"/>
  <c r="N726" i="14"/>
  <c r="N725" i="14"/>
  <c r="N724" i="14"/>
  <c r="N723" i="14"/>
  <c r="N722" i="14"/>
  <c r="N721" i="14"/>
  <c r="N720" i="14"/>
  <c r="N719" i="14"/>
  <c r="N718" i="14"/>
  <c r="N717" i="14"/>
  <c r="N716" i="14"/>
  <c r="N715" i="14"/>
  <c r="N714" i="14"/>
  <c r="N713" i="14"/>
  <c r="N712" i="14"/>
  <c r="N711" i="14"/>
  <c r="N710" i="14"/>
  <c r="N709" i="14"/>
  <c r="N708" i="14"/>
  <c r="N707" i="14"/>
  <c r="N706" i="14"/>
  <c r="N705" i="14"/>
  <c r="N704" i="14"/>
  <c r="N703" i="14"/>
  <c r="N702" i="14"/>
  <c r="N701" i="14"/>
  <c r="N700" i="14"/>
  <c r="N699" i="14"/>
  <c r="N698" i="14"/>
  <c r="N697" i="14"/>
  <c r="N696" i="14"/>
  <c r="N695" i="14"/>
  <c r="N694" i="14"/>
  <c r="N693" i="14"/>
  <c r="N692" i="14"/>
  <c r="N691" i="14"/>
  <c r="N690" i="14"/>
  <c r="N689" i="14"/>
  <c r="N688" i="14"/>
  <c r="N687" i="14"/>
  <c r="N686" i="14"/>
  <c r="N685" i="14"/>
  <c r="N684" i="14"/>
  <c r="N683" i="14"/>
  <c r="N682" i="14"/>
  <c r="N681" i="14"/>
  <c r="N680" i="14"/>
  <c r="N679" i="14"/>
  <c r="N678" i="14"/>
  <c r="N677" i="14"/>
  <c r="N676" i="14"/>
  <c r="N675" i="14"/>
  <c r="N674" i="14"/>
  <c r="N673" i="14"/>
  <c r="N672" i="14"/>
  <c r="N671" i="14"/>
  <c r="N670" i="14"/>
  <c r="N669" i="14"/>
  <c r="N668" i="14"/>
  <c r="N667" i="14"/>
  <c r="N666" i="14"/>
  <c r="N665" i="14"/>
  <c r="N664" i="14"/>
  <c r="N663" i="14"/>
  <c r="N662" i="14"/>
  <c r="N661" i="14"/>
  <c r="N660" i="14"/>
  <c r="N659" i="14"/>
  <c r="N658" i="14"/>
  <c r="N657" i="14"/>
  <c r="N656" i="14"/>
  <c r="N655" i="14"/>
  <c r="N654" i="14"/>
  <c r="N653" i="14"/>
  <c r="N652" i="14"/>
  <c r="N651" i="14"/>
  <c r="N650" i="14"/>
  <c r="N649" i="14"/>
  <c r="N648" i="14"/>
  <c r="N647" i="14"/>
  <c r="N646" i="14"/>
  <c r="N645" i="14"/>
  <c r="N644" i="14"/>
  <c r="N643" i="14"/>
  <c r="N642" i="14"/>
  <c r="N641" i="14"/>
  <c r="N640" i="14"/>
  <c r="N639" i="14"/>
  <c r="N638" i="14"/>
  <c r="N637" i="14"/>
  <c r="N636" i="14"/>
  <c r="N635" i="14"/>
  <c r="N634" i="14"/>
  <c r="N633" i="14"/>
  <c r="N632" i="14"/>
  <c r="N631" i="14"/>
  <c r="N630" i="14"/>
  <c r="N629" i="14"/>
  <c r="N628" i="14"/>
  <c r="N627" i="14"/>
  <c r="N626" i="14"/>
  <c r="N625" i="14"/>
  <c r="N624" i="14"/>
  <c r="N623" i="14"/>
  <c r="N622" i="14"/>
  <c r="N621" i="14"/>
  <c r="N620" i="14"/>
  <c r="N619" i="14"/>
  <c r="N618" i="14"/>
  <c r="N617" i="14"/>
  <c r="N616" i="14"/>
  <c r="N615" i="14"/>
  <c r="N614" i="14"/>
  <c r="N613" i="14"/>
  <c r="N612" i="14"/>
  <c r="N611" i="14"/>
  <c r="N610" i="14"/>
  <c r="N609" i="14"/>
  <c r="N608" i="14"/>
  <c r="N607" i="14"/>
  <c r="N606" i="14"/>
  <c r="N605" i="14"/>
  <c r="N604" i="14"/>
  <c r="N603" i="14"/>
  <c r="N602" i="14"/>
  <c r="N601" i="14"/>
  <c r="N600" i="14"/>
  <c r="N599" i="14"/>
  <c r="N598" i="14"/>
  <c r="N597" i="14"/>
  <c r="N596" i="14"/>
  <c r="N595" i="14"/>
  <c r="N594" i="14"/>
  <c r="N593" i="14"/>
  <c r="N592" i="14"/>
  <c r="N591" i="14"/>
  <c r="N590" i="14"/>
  <c r="N589" i="14"/>
  <c r="N588" i="14"/>
  <c r="N587" i="14"/>
  <c r="N586" i="14"/>
  <c r="N585" i="14"/>
  <c r="N584" i="14"/>
  <c r="N583" i="14"/>
  <c r="N582" i="14"/>
  <c r="N581" i="14"/>
  <c r="N580" i="14"/>
  <c r="N579" i="14"/>
  <c r="N578" i="14"/>
  <c r="N577" i="14"/>
  <c r="N576" i="14"/>
  <c r="N575" i="14"/>
  <c r="N574" i="14"/>
  <c r="N573" i="14"/>
  <c r="N572" i="14"/>
  <c r="N571" i="14"/>
  <c r="N570" i="14"/>
  <c r="N569" i="14"/>
  <c r="N568" i="14"/>
  <c r="N567" i="14"/>
  <c r="N566" i="14"/>
  <c r="N565" i="14"/>
  <c r="N564" i="14"/>
  <c r="N563" i="14"/>
  <c r="N562" i="14"/>
  <c r="N561" i="14"/>
  <c r="N560" i="14"/>
  <c r="N559" i="14"/>
  <c r="N558" i="14"/>
  <c r="N557" i="14"/>
  <c r="N556" i="14"/>
  <c r="N555" i="14"/>
  <c r="N554" i="14"/>
  <c r="N553" i="14"/>
  <c r="N552" i="14"/>
  <c r="N551" i="14"/>
  <c r="N550" i="14"/>
  <c r="N549" i="14"/>
  <c r="N548" i="14"/>
  <c r="N547" i="14"/>
  <c r="N546" i="14"/>
  <c r="N545" i="14"/>
  <c r="N544" i="14"/>
  <c r="N543" i="14"/>
  <c r="N542" i="14"/>
  <c r="N541" i="14"/>
  <c r="N540" i="14"/>
  <c r="N539" i="14"/>
  <c r="N538" i="14"/>
  <c r="N537" i="14"/>
  <c r="N536" i="14"/>
  <c r="N535" i="14"/>
  <c r="N534" i="14"/>
  <c r="N533" i="14"/>
  <c r="N532" i="14"/>
  <c r="N531" i="14"/>
  <c r="N530" i="14"/>
  <c r="N529" i="14"/>
  <c r="N528" i="14"/>
  <c r="N527" i="14"/>
  <c r="N526" i="14"/>
  <c r="N525" i="14"/>
  <c r="N524" i="14"/>
  <c r="N523" i="14"/>
  <c r="N522" i="14"/>
  <c r="N521" i="14"/>
  <c r="N520" i="14"/>
  <c r="N519" i="14"/>
  <c r="N518" i="14"/>
  <c r="N517" i="14"/>
  <c r="N516" i="14"/>
  <c r="N515" i="14"/>
  <c r="N514" i="14"/>
  <c r="N513" i="14"/>
  <c r="N512" i="14"/>
  <c r="N511" i="14"/>
  <c r="N510" i="14"/>
  <c r="N509" i="14"/>
  <c r="N508" i="14"/>
  <c r="N507" i="14"/>
  <c r="N506" i="14"/>
  <c r="N505" i="14"/>
  <c r="N504" i="14"/>
  <c r="N503" i="14"/>
  <c r="N502" i="14"/>
  <c r="N501" i="14"/>
  <c r="N500" i="14"/>
  <c r="N499" i="14"/>
  <c r="N498" i="14"/>
  <c r="N497" i="14"/>
  <c r="N496" i="14"/>
  <c r="N495" i="14"/>
  <c r="N494" i="14"/>
  <c r="N493" i="14"/>
  <c r="N492" i="14"/>
  <c r="N491" i="14"/>
  <c r="N490" i="14"/>
  <c r="N489" i="14"/>
  <c r="N488" i="14"/>
  <c r="N487" i="14"/>
  <c r="N486" i="14"/>
  <c r="N485" i="14"/>
  <c r="N484" i="14"/>
  <c r="N483" i="14"/>
  <c r="N482" i="14"/>
  <c r="N481" i="14"/>
  <c r="N480" i="14"/>
  <c r="N479" i="14"/>
  <c r="N478" i="14"/>
  <c r="N477" i="14"/>
  <c r="N476" i="14"/>
  <c r="N475" i="14"/>
  <c r="N474" i="14"/>
  <c r="N473" i="14"/>
  <c r="N472" i="14"/>
  <c r="N471" i="14"/>
  <c r="N470" i="14"/>
  <c r="N469" i="14"/>
  <c r="N468" i="14"/>
  <c r="N467" i="14"/>
  <c r="N466" i="14"/>
  <c r="N465" i="14"/>
  <c r="N464" i="14"/>
  <c r="N463" i="14"/>
  <c r="N462" i="14"/>
  <c r="N461" i="14"/>
  <c r="N460" i="14"/>
  <c r="N459" i="14"/>
  <c r="N458" i="14"/>
  <c r="N457" i="14"/>
  <c r="N456" i="14"/>
  <c r="N455" i="14"/>
  <c r="N454" i="14"/>
  <c r="N453" i="14"/>
  <c r="N452" i="14"/>
  <c r="N451" i="14"/>
  <c r="N450" i="14"/>
  <c r="N449" i="14"/>
  <c r="N448" i="14"/>
  <c r="N447" i="14"/>
  <c r="N446" i="14"/>
  <c r="N445" i="14"/>
  <c r="N444" i="14"/>
  <c r="N443" i="14"/>
  <c r="N442" i="14"/>
  <c r="N441" i="14"/>
  <c r="N440" i="14"/>
  <c r="N439" i="14"/>
  <c r="N438" i="14"/>
  <c r="N437" i="14"/>
  <c r="N436" i="14"/>
  <c r="N435" i="14"/>
  <c r="N434" i="14"/>
  <c r="N433" i="14"/>
  <c r="N432" i="14"/>
  <c r="N431" i="14"/>
  <c r="N430" i="14"/>
  <c r="N429" i="14"/>
  <c r="N428" i="14"/>
  <c r="N427" i="14"/>
  <c r="N426" i="14"/>
  <c r="N425" i="14"/>
  <c r="N424" i="14"/>
  <c r="N423" i="14"/>
  <c r="N422" i="14"/>
  <c r="N421" i="14"/>
  <c r="N420" i="14"/>
  <c r="N419" i="14"/>
  <c r="N418" i="14"/>
  <c r="N417" i="14"/>
  <c r="N416" i="14"/>
  <c r="N415" i="14"/>
  <c r="N414" i="14"/>
  <c r="N413" i="14"/>
  <c r="N412" i="14"/>
  <c r="N411" i="14"/>
  <c r="N410" i="14"/>
  <c r="N409" i="14"/>
  <c r="N408" i="14"/>
  <c r="N407" i="14"/>
  <c r="N406" i="14"/>
  <c r="N405" i="14"/>
  <c r="N404" i="14"/>
  <c r="N403" i="14"/>
  <c r="N402" i="14"/>
  <c r="N401" i="14"/>
  <c r="N400" i="14"/>
  <c r="N399" i="14"/>
  <c r="N398" i="14"/>
  <c r="N397" i="14"/>
  <c r="N396" i="14"/>
  <c r="N395" i="14"/>
  <c r="N394" i="14"/>
  <c r="N393" i="14"/>
  <c r="N392" i="14"/>
  <c r="N391" i="14"/>
  <c r="N390" i="14"/>
  <c r="N389" i="14"/>
  <c r="N388" i="14"/>
  <c r="N387" i="14"/>
  <c r="N386" i="14"/>
  <c r="N385" i="14"/>
  <c r="N384" i="14"/>
  <c r="N383" i="14"/>
  <c r="N382" i="14"/>
  <c r="N381" i="14"/>
  <c r="N380" i="14"/>
  <c r="N379" i="14"/>
  <c r="N378" i="14"/>
  <c r="N377" i="14"/>
  <c r="N376" i="14"/>
  <c r="N375" i="14"/>
  <c r="N374" i="14"/>
  <c r="N373" i="14"/>
  <c r="N372" i="14"/>
  <c r="N371" i="14"/>
  <c r="N370" i="14"/>
  <c r="N369" i="14"/>
  <c r="N368" i="14"/>
  <c r="N367" i="14"/>
  <c r="N366" i="14"/>
  <c r="N365" i="14"/>
  <c r="N364" i="14"/>
  <c r="N363" i="14"/>
  <c r="N362" i="14"/>
  <c r="N361" i="14"/>
  <c r="N360" i="14"/>
  <c r="N359" i="14"/>
  <c r="N358" i="14"/>
  <c r="N357" i="14"/>
  <c r="N356" i="14"/>
  <c r="N355" i="14"/>
  <c r="N354" i="14"/>
  <c r="N353" i="14"/>
  <c r="N352" i="14"/>
  <c r="N351" i="14"/>
  <c r="N350" i="14"/>
  <c r="N349" i="14"/>
  <c r="N348" i="14"/>
  <c r="N347" i="14"/>
  <c r="N346" i="14"/>
  <c r="N345" i="14"/>
  <c r="N344" i="14"/>
  <c r="N343" i="14"/>
  <c r="N342" i="14"/>
  <c r="N341" i="14"/>
  <c r="N340" i="14"/>
  <c r="N339" i="14"/>
  <c r="N338" i="14"/>
  <c r="N337" i="14"/>
  <c r="N336" i="14"/>
  <c r="N335" i="14"/>
  <c r="N334" i="14"/>
  <c r="N333" i="14"/>
  <c r="N332" i="14"/>
  <c r="N331" i="14"/>
  <c r="N330" i="14"/>
  <c r="N329" i="14"/>
  <c r="N328" i="14"/>
  <c r="N327" i="14"/>
  <c r="N326" i="14"/>
  <c r="N325" i="14"/>
  <c r="N324" i="14"/>
  <c r="N323" i="14"/>
  <c r="N322" i="14"/>
  <c r="N321" i="14"/>
  <c r="N320" i="14"/>
  <c r="N319" i="14"/>
  <c r="N318" i="14"/>
  <c r="N317" i="14"/>
  <c r="N316" i="14"/>
  <c r="N315" i="14"/>
  <c r="N314" i="14"/>
  <c r="N313" i="14"/>
  <c r="N312" i="14"/>
  <c r="N311" i="14"/>
  <c r="N310" i="14"/>
  <c r="N309" i="14"/>
  <c r="N308" i="14"/>
  <c r="N307" i="14"/>
  <c r="N306" i="14"/>
  <c r="N305" i="14"/>
  <c r="N304" i="14"/>
  <c r="N303" i="14"/>
  <c r="N302" i="14"/>
  <c r="N301" i="14"/>
  <c r="N300" i="14"/>
  <c r="N299" i="14"/>
  <c r="N298" i="14"/>
  <c r="N297" i="14"/>
  <c r="N296" i="14"/>
  <c r="N295" i="14"/>
  <c r="N294" i="14"/>
  <c r="N293" i="14"/>
  <c r="N292" i="14"/>
  <c r="N291" i="14"/>
  <c r="N290" i="14"/>
  <c r="N289" i="14"/>
  <c r="N288" i="14"/>
  <c r="N287" i="14"/>
  <c r="N286" i="14"/>
  <c r="N285" i="14"/>
  <c r="N284" i="14"/>
  <c r="N283" i="14"/>
  <c r="N282" i="14"/>
  <c r="N281" i="14"/>
  <c r="N280" i="14"/>
  <c r="N279" i="14"/>
  <c r="N278" i="14"/>
  <c r="N277" i="14"/>
  <c r="N276" i="14"/>
  <c r="N275" i="14"/>
  <c r="N274" i="14"/>
  <c r="N273" i="14"/>
  <c r="N272" i="14"/>
  <c r="N271" i="14"/>
  <c r="N270" i="14"/>
  <c r="N269" i="14"/>
  <c r="N268" i="14"/>
  <c r="N267" i="14"/>
  <c r="N266" i="14"/>
  <c r="N265" i="14"/>
  <c r="N264" i="14"/>
  <c r="N263" i="14"/>
  <c r="N262" i="14"/>
  <c r="N261" i="14"/>
  <c r="N260" i="14"/>
  <c r="N259" i="14"/>
  <c r="N258" i="14"/>
  <c r="N257" i="14"/>
  <c r="N256" i="14"/>
  <c r="N255" i="14"/>
  <c r="N254" i="14"/>
  <c r="N253" i="14"/>
  <c r="N252" i="14"/>
  <c r="N251" i="14"/>
  <c r="N250" i="14"/>
  <c r="N249" i="14"/>
  <c r="N248" i="14"/>
  <c r="N247" i="14"/>
  <c r="N246" i="14"/>
  <c r="N245" i="14"/>
  <c r="N244" i="14"/>
  <c r="N243" i="14"/>
  <c r="N242" i="14"/>
  <c r="N241" i="14"/>
  <c r="N240" i="14"/>
  <c r="N239" i="14"/>
  <c r="N238" i="14"/>
  <c r="N237" i="14"/>
  <c r="N236" i="14"/>
  <c r="N235" i="14"/>
  <c r="N234" i="14"/>
  <c r="N233" i="14"/>
  <c r="N232" i="14"/>
  <c r="N231" i="14"/>
  <c r="N230" i="14"/>
  <c r="N229" i="14"/>
  <c r="N228" i="14"/>
  <c r="N227" i="14"/>
  <c r="N226" i="14"/>
  <c r="N225" i="14"/>
  <c r="N224" i="14"/>
  <c r="N223" i="14"/>
  <c r="N222" i="14"/>
  <c r="N221" i="14"/>
  <c r="N220" i="14"/>
  <c r="N219" i="14"/>
  <c r="N218" i="14"/>
  <c r="N217" i="14"/>
  <c r="N216" i="14"/>
  <c r="N215" i="14"/>
  <c r="N214" i="14"/>
  <c r="N213" i="14"/>
  <c r="N212" i="14"/>
  <c r="N211" i="14"/>
  <c r="N210" i="14"/>
  <c r="N209" i="14"/>
  <c r="N208" i="14"/>
  <c r="N207" i="14"/>
  <c r="N206" i="14"/>
  <c r="N205" i="14"/>
  <c r="N204" i="14"/>
  <c r="N203" i="14"/>
  <c r="N202" i="14"/>
  <c r="N201" i="14"/>
  <c r="N200" i="14"/>
  <c r="N199" i="14"/>
  <c r="N198" i="14"/>
  <c r="N197" i="14"/>
  <c r="N196" i="14"/>
  <c r="N195" i="14"/>
  <c r="N194" i="14"/>
  <c r="N193" i="14"/>
  <c r="N192" i="14"/>
  <c r="N191" i="14"/>
  <c r="N190" i="14"/>
  <c r="N189" i="14"/>
  <c r="N188" i="14"/>
  <c r="N187" i="14"/>
  <c r="N186" i="14"/>
  <c r="N185" i="14"/>
  <c r="N184" i="14"/>
  <c r="N183" i="14"/>
  <c r="N182" i="14"/>
  <c r="N181" i="14"/>
  <c r="N180" i="14"/>
  <c r="N179" i="14"/>
  <c r="N178" i="14"/>
  <c r="N177" i="14"/>
  <c r="N176" i="14"/>
  <c r="N175" i="14"/>
  <c r="N174" i="14"/>
  <c r="N173" i="14"/>
  <c r="N172" i="14"/>
  <c r="N171" i="14"/>
  <c r="N170" i="14"/>
  <c r="N169" i="14"/>
  <c r="N168" i="14"/>
  <c r="N167" i="14"/>
  <c r="N166" i="14"/>
  <c r="N165" i="14"/>
  <c r="N164" i="14"/>
  <c r="N163" i="14"/>
  <c r="N162" i="14"/>
  <c r="N161" i="14"/>
  <c r="N160" i="14"/>
  <c r="N159" i="14"/>
  <c r="N158" i="14"/>
  <c r="N157" i="14"/>
  <c r="N156" i="14"/>
  <c r="N155" i="14"/>
  <c r="N154" i="14"/>
  <c r="N153" i="14"/>
  <c r="N152" i="14"/>
  <c r="N151" i="14"/>
  <c r="N150" i="14"/>
  <c r="N149" i="14"/>
  <c r="N148" i="14"/>
  <c r="N147" i="14"/>
  <c r="N146" i="14"/>
  <c r="N145" i="14"/>
  <c r="N144" i="14"/>
  <c r="N143" i="14"/>
  <c r="N142" i="14"/>
  <c r="N141" i="14"/>
  <c r="N140" i="14"/>
  <c r="N139" i="14"/>
  <c r="N138" i="14"/>
  <c r="N137" i="14"/>
  <c r="N136" i="14"/>
  <c r="N135" i="14"/>
  <c r="N134" i="14"/>
  <c r="N133" i="14"/>
  <c r="N132" i="14"/>
  <c r="N131" i="14"/>
  <c r="N130" i="14"/>
  <c r="N129" i="14"/>
  <c r="N128" i="14"/>
  <c r="N127" i="14"/>
  <c r="N126" i="14"/>
  <c r="N125" i="14"/>
  <c r="N124" i="14"/>
  <c r="N123" i="14"/>
  <c r="N122" i="14"/>
  <c r="N121" i="14"/>
  <c r="N120" i="14"/>
  <c r="N119" i="14"/>
  <c r="N118" i="14"/>
  <c r="N117" i="14"/>
  <c r="N116" i="14"/>
  <c r="N115" i="14"/>
  <c r="N114" i="14"/>
  <c r="N113" i="14"/>
  <c r="N112" i="14"/>
  <c r="N111" i="14"/>
  <c r="N110" i="14"/>
  <c r="N109" i="14"/>
  <c r="N108" i="14"/>
  <c r="N107" i="14"/>
  <c r="N106" i="14"/>
  <c r="N105" i="14"/>
  <c r="N104" i="14"/>
  <c r="N103" i="14"/>
  <c r="N102" i="14"/>
  <c r="N101" i="14"/>
  <c r="N100" i="14"/>
  <c r="N99" i="14"/>
  <c r="N98" i="14"/>
  <c r="N97" i="14"/>
  <c r="N96" i="14"/>
  <c r="N95" i="14"/>
  <c r="N94" i="14"/>
  <c r="N93" i="14"/>
  <c r="N92" i="14"/>
  <c r="N91" i="14"/>
  <c r="N90" i="14"/>
  <c r="N89" i="14"/>
  <c r="N88" i="14"/>
  <c r="N87" i="14"/>
  <c r="N86" i="14"/>
  <c r="N85" i="14"/>
  <c r="N84" i="14"/>
  <c r="N83" i="14"/>
  <c r="N82" i="14"/>
  <c r="N81" i="14"/>
  <c r="N80" i="14"/>
  <c r="N79" i="14"/>
  <c r="N78" i="14"/>
  <c r="N77" i="14"/>
  <c r="N76" i="14"/>
  <c r="N75" i="14"/>
  <c r="N74" i="14"/>
  <c r="N73" i="14"/>
  <c r="N72" i="14"/>
  <c r="N71" i="14"/>
  <c r="N70" i="14"/>
  <c r="N69" i="14"/>
  <c r="N68" i="14"/>
  <c r="N67" i="14"/>
  <c r="N66" i="14"/>
  <c r="N65" i="14"/>
  <c r="N64" i="14"/>
  <c r="N63" i="14"/>
  <c r="N62" i="14"/>
  <c r="N61" i="14"/>
  <c r="N60" i="14"/>
  <c r="N59" i="14"/>
  <c r="N58" i="14"/>
  <c r="N57" i="14"/>
  <c r="N56" i="14"/>
  <c r="N55" i="14"/>
  <c r="N54" i="14"/>
  <c r="N53" i="14"/>
  <c r="N52" i="14"/>
  <c r="N51" i="14"/>
  <c r="N50" i="14"/>
  <c r="N49" i="14"/>
  <c r="N48" i="14"/>
  <c r="N47" i="14"/>
  <c r="N46" i="14"/>
  <c r="N45" i="14"/>
  <c r="N44" i="14"/>
  <c r="N43" i="14"/>
  <c r="N42" i="14"/>
  <c r="N41" i="14"/>
  <c r="N40" i="14"/>
  <c r="N39" i="14"/>
  <c r="N38" i="14"/>
  <c r="N37" i="14"/>
  <c r="N36" i="14"/>
  <c r="N35" i="14"/>
  <c r="N34" i="14"/>
  <c r="N33" i="14"/>
  <c r="N32" i="14"/>
  <c r="N31" i="14"/>
  <c r="N30" i="14"/>
  <c r="N29" i="14"/>
  <c r="N28" i="14"/>
  <c r="N27" i="14"/>
  <c r="N26" i="14"/>
  <c r="N25" i="14"/>
  <c r="N24" i="14"/>
  <c r="N23" i="14"/>
  <c r="N22" i="14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5" i="14"/>
  <c r="N4" i="14"/>
  <c r="N3" i="14"/>
  <c r="N2" i="14"/>
  <c r="P792" i="14"/>
  <c r="P791" i="14"/>
  <c r="P790" i="14"/>
  <c r="P789" i="14"/>
  <c r="P788" i="14"/>
  <c r="P787" i="14"/>
  <c r="P786" i="14"/>
  <c r="P785" i="14"/>
  <c r="P784" i="14"/>
  <c r="P783" i="14"/>
  <c r="P782" i="14"/>
  <c r="P781" i="14"/>
  <c r="P780" i="14"/>
  <c r="P779" i="14"/>
  <c r="P778" i="14"/>
  <c r="P777" i="14"/>
  <c r="P776" i="14"/>
  <c r="P775" i="14"/>
  <c r="P774" i="14"/>
  <c r="P773" i="14"/>
  <c r="P772" i="14"/>
  <c r="P771" i="14"/>
  <c r="P770" i="14"/>
  <c r="P769" i="14"/>
  <c r="P768" i="14"/>
  <c r="P767" i="14"/>
  <c r="P766" i="14"/>
  <c r="P765" i="14"/>
  <c r="P764" i="14"/>
  <c r="P763" i="14"/>
  <c r="P762" i="14"/>
  <c r="P761" i="14"/>
  <c r="P760" i="14"/>
  <c r="P759" i="14"/>
  <c r="P758" i="14"/>
  <c r="P757" i="14"/>
  <c r="P756" i="14"/>
  <c r="P755" i="14"/>
  <c r="P754" i="14"/>
  <c r="P753" i="14"/>
  <c r="P752" i="14"/>
  <c r="P751" i="14"/>
  <c r="P750" i="14"/>
  <c r="P749" i="14"/>
  <c r="P748" i="14"/>
  <c r="P747" i="14"/>
  <c r="P746" i="14"/>
  <c r="P745" i="14"/>
  <c r="P744" i="14"/>
  <c r="P743" i="14"/>
  <c r="P742" i="14"/>
  <c r="P741" i="14"/>
  <c r="P740" i="14"/>
  <c r="P739" i="14"/>
  <c r="P738" i="14"/>
  <c r="P737" i="14"/>
  <c r="P736" i="14"/>
  <c r="P735" i="14"/>
  <c r="P734" i="14"/>
  <c r="P733" i="14"/>
  <c r="P732" i="14"/>
  <c r="P731" i="14"/>
  <c r="P730" i="14"/>
  <c r="P729" i="14"/>
  <c r="P728" i="14"/>
  <c r="P727" i="14"/>
  <c r="P726" i="14"/>
  <c r="P725" i="14"/>
  <c r="P724" i="14"/>
  <c r="P723" i="14"/>
  <c r="P722" i="14"/>
  <c r="P721" i="14"/>
  <c r="P720" i="14"/>
  <c r="P719" i="14"/>
  <c r="P718" i="14"/>
  <c r="P717" i="14"/>
  <c r="P716" i="14"/>
  <c r="P715" i="14"/>
  <c r="P714" i="14"/>
  <c r="P713" i="14"/>
  <c r="P712" i="14"/>
  <c r="P711" i="14"/>
  <c r="P710" i="14"/>
  <c r="P709" i="14"/>
  <c r="P708" i="14"/>
  <c r="P707" i="14"/>
  <c r="P706" i="14"/>
  <c r="P705" i="14"/>
  <c r="P704" i="14"/>
  <c r="P703" i="14"/>
  <c r="P702" i="14"/>
  <c r="P701" i="14"/>
  <c r="P700" i="14"/>
  <c r="P699" i="14"/>
  <c r="P698" i="14"/>
  <c r="P697" i="14"/>
  <c r="P696" i="14"/>
  <c r="P695" i="14"/>
  <c r="P694" i="14"/>
  <c r="P693" i="14"/>
  <c r="P692" i="14"/>
  <c r="P691" i="14"/>
  <c r="P690" i="14"/>
  <c r="P689" i="14"/>
  <c r="P688" i="14"/>
  <c r="P687" i="14"/>
  <c r="P686" i="14"/>
  <c r="P685" i="14"/>
  <c r="P684" i="14"/>
  <c r="P683" i="14"/>
  <c r="P682" i="14"/>
  <c r="P681" i="14"/>
  <c r="P680" i="14"/>
  <c r="P679" i="14"/>
  <c r="P678" i="14"/>
  <c r="P677" i="14"/>
  <c r="P676" i="14"/>
  <c r="P675" i="14"/>
  <c r="P674" i="14"/>
  <c r="P673" i="14"/>
  <c r="P672" i="14"/>
  <c r="P671" i="14"/>
  <c r="P670" i="14"/>
  <c r="P669" i="14"/>
  <c r="P668" i="14"/>
  <c r="P667" i="14"/>
  <c r="P666" i="14"/>
  <c r="P665" i="14"/>
  <c r="P664" i="14"/>
  <c r="P663" i="14"/>
  <c r="P662" i="14"/>
  <c r="P661" i="14"/>
  <c r="P660" i="14"/>
  <c r="P659" i="14"/>
  <c r="P658" i="14"/>
  <c r="P657" i="14"/>
  <c r="P656" i="14"/>
  <c r="P655" i="14"/>
  <c r="P654" i="14"/>
  <c r="P653" i="14"/>
  <c r="P652" i="14"/>
  <c r="P651" i="14"/>
  <c r="P650" i="14"/>
  <c r="P649" i="14"/>
  <c r="P648" i="14"/>
  <c r="P647" i="14"/>
  <c r="P646" i="14"/>
  <c r="P645" i="14"/>
  <c r="P644" i="14"/>
  <c r="P643" i="14"/>
  <c r="P642" i="14"/>
  <c r="P641" i="14"/>
  <c r="P640" i="14"/>
  <c r="P639" i="14"/>
  <c r="P638" i="14"/>
  <c r="P637" i="14"/>
  <c r="P636" i="14"/>
  <c r="P635" i="14"/>
  <c r="P634" i="14"/>
  <c r="P633" i="14"/>
  <c r="P632" i="14"/>
  <c r="P631" i="14"/>
  <c r="P630" i="14"/>
  <c r="P629" i="14"/>
  <c r="P628" i="14"/>
  <c r="P627" i="14"/>
  <c r="P626" i="14"/>
  <c r="P625" i="14"/>
  <c r="P624" i="14"/>
  <c r="P623" i="14"/>
  <c r="P622" i="14"/>
  <c r="P621" i="14"/>
  <c r="P620" i="14"/>
  <c r="P619" i="14"/>
  <c r="P618" i="14"/>
  <c r="P617" i="14"/>
  <c r="P616" i="14"/>
  <c r="P615" i="14"/>
  <c r="P614" i="14"/>
  <c r="P613" i="14"/>
  <c r="P612" i="14"/>
  <c r="P611" i="14"/>
  <c r="P610" i="14"/>
  <c r="P609" i="14"/>
  <c r="P608" i="14"/>
  <c r="P607" i="14"/>
  <c r="P606" i="14"/>
  <c r="P605" i="14"/>
  <c r="P604" i="14"/>
  <c r="P603" i="14"/>
  <c r="P602" i="14"/>
  <c r="P601" i="14"/>
  <c r="P600" i="14"/>
  <c r="P599" i="14"/>
  <c r="P598" i="14"/>
  <c r="P597" i="14"/>
  <c r="P596" i="14"/>
  <c r="P595" i="14"/>
  <c r="P594" i="14"/>
  <c r="P593" i="14"/>
  <c r="P592" i="14"/>
  <c r="P591" i="14"/>
  <c r="P590" i="14"/>
  <c r="P589" i="14"/>
  <c r="P588" i="14"/>
  <c r="P587" i="14"/>
  <c r="P586" i="14"/>
  <c r="P585" i="14"/>
  <c r="P584" i="14"/>
  <c r="P583" i="14"/>
  <c r="P582" i="14"/>
  <c r="P581" i="14"/>
  <c r="P580" i="14"/>
  <c r="P579" i="14"/>
  <c r="P578" i="14"/>
  <c r="P577" i="14"/>
  <c r="P576" i="14"/>
  <c r="P575" i="14"/>
  <c r="P574" i="14"/>
  <c r="P573" i="14"/>
  <c r="P572" i="14"/>
  <c r="P571" i="14"/>
  <c r="P570" i="14"/>
  <c r="P569" i="14"/>
  <c r="P568" i="14"/>
  <c r="P567" i="14"/>
  <c r="P566" i="14"/>
  <c r="P565" i="14"/>
  <c r="P564" i="14"/>
  <c r="P563" i="14"/>
  <c r="P562" i="14"/>
  <c r="P561" i="14"/>
  <c r="P560" i="14"/>
  <c r="P559" i="14"/>
  <c r="P558" i="14"/>
  <c r="P557" i="14"/>
  <c r="P556" i="14"/>
  <c r="P555" i="14"/>
  <c r="P554" i="14"/>
  <c r="P553" i="14"/>
  <c r="P552" i="14"/>
  <c r="P551" i="14"/>
  <c r="P550" i="14"/>
  <c r="P549" i="14"/>
  <c r="P548" i="14"/>
  <c r="P547" i="14"/>
  <c r="P546" i="14"/>
  <c r="P545" i="14"/>
  <c r="P544" i="14"/>
  <c r="P543" i="14"/>
  <c r="P542" i="14"/>
  <c r="P541" i="14"/>
  <c r="P540" i="14"/>
  <c r="P539" i="14"/>
  <c r="P538" i="14"/>
  <c r="P537" i="14"/>
  <c r="P536" i="14"/>
  <c r="P535" i="14"/>
  <c r="P534" i="14"/>
  <c r="P533" i="14"/>
  <c r="P532" i="14"/>
  <c r="P531" i="14"/>
  <c r="P530" i="14"/>
  <c r="P529" i="14"/>
  <c r="P528" i="14"/>
  <c r="P527" i="14"/>
  <c r="P526" i="14"/>
  <c r="P525" i="14"/>
  <c r="P524" i="14"/>
  <c r="P523" i="14"/>
  <c r="P522" i="14"/>
  <c r="P521" i="14"/>
  <c r="P520" i="14"/>
  <c r="P519" i="14"/>
  <c r="P518" i="14"/>
  <c r="P517" i="14"/>
  <c r="P516" i="14"/>
  <c r="P515" i="14"/>
  <c r="P514" i="14"/>
  <c r="P513" i="14"/>
  <c r="P512" i="14"/>
  <c r="P511" i="14"/>
  <c r="P510" i="14"/>
  <c r="P509" i="14"/>
  <c r="P508" i="14"/>
  <c r="P507" i="14"/>
  <c r="P506" i="14"/>
  <c r="P505" i="14"/>
  <c r="P504" i="14"/>
  <c r="P503" i="14"/>
  <c r="P502" i="14"/>
  <c r="P501" i="14"/>
  <c r="P500" i="14"/>
  <c r="P499" i="14"/>
  <c r="P498" i="14"/>
  <c r="P497" i="14"/>
  <c r="P496" i="14"/>
  <c r="P495" i="14"/>
  <c r="P494" i="14"/>
  <c r="P493" i="14"/>
  <c r="P492" i="14"/>
  <c r="P491" i="14"/>
  <c r="P490" i="14"/>
  <c r="P489" i="14"/>
  <c r="P488" i="14"/>
  <c r="P487" i="14"/>
  <c r="P486" i="14"/>
  <c r="P485" i="14"/>
  <c r="P484" i="14"/>
  <c r="P483" i="14"/>
  <c r="P482" i="14"/>
  <c r="P481" i="14"/>
  <c r="P480" i="14"/>
  <c r="P479" i="14"/>
  <c r="P478" i="14"/>
  <c r="P477" i="14"/>
  <c r="P476" i="14"/>
  <c r="P475" i="14"/>
  <c r="P474" i="14"/>
  <c r="P473" i="14"/>
  <c r="P472" i="14"/>
  <c r="P471" i="14"/>
  <c r="P470" i="14"/>
  <c r="P469" i="14"/>
  <c r="P468" i="14"/>
  <c r="P467" i="14"/>
  <c r="P466" i="14"/>
  <c r="P465" i="14"/>
  <c r="P464" i="14"/>
  <c r="P463" i="14"/>
  <c r="P462" i="14"/>
  <c r="P461" i="14"/>
  <c r="P460" i="14"/>
  <c r="P459" i="14"/>
  <c r="P458" i="14"/>
  <c r="P457" i="14"/>
  <c r="P456" i="14"/>
  <c r="P455" i="14"/>
  <c r="P454" i="14"/>
  <c r="P453" i="14"/>
  <c r="P452" i="14"/>
  <c r="P451" i="14"/>
  <c r="P450" i="14"/>
  <c r="P449" i="14"/>
  <c r="P448" i="14"/>
  <c r="P447" i="14"/>
  <c r="P446" i="14"/>
  <c r="P445" i="14"/>
  <c r="P444" i="14"/>
  <c r="P443" i="14"/>
  <c r="P442" i="14"/>
  <c r="P441" i="14"/>
  <c r="P440" i="14"/>
  <c r="P439" i="14"/>
  <c r="P438" i="14"/>
  <c r="P437" i="14"/>
  <c r="P436" i="14"/>
  <c r="P435" i="14"/>
  <c r="P434" i="14"/>
  <c r="P433" i="14"/>
  <c r="P432" i="14"/>
  <c r="P431" i="14"/>
  <c r="P430" i="14"/>
  <c r="P429" i="14"/>
  <c r="P428" i="14"/>
  <c r="P427" i="14"/>
  <c r="P426" i="14"/>
  <c r="P425" i="14"/>
  <c r="P424" i="14"/>
  <c r="P423" i="14"/>
  <c r="P422" i="14"/>
  <c r="P421" i="14"/>
  <c r="P420" i="14"/>
  <c r="P419" i="14"/>
  <c r="P418" i="14"/>
  <c r="P417" i="14"/>
  <c r="P416" i="14"/>
  <c r="P415" i="14"/>
  <c r="P414" i="14"/>
  <c r="P413" i="14"/>
  <c r="P412" i="14"/>
  <c r="P411" i="14"/>
  <c r="P410" i="14"/>
  <c r="P409" i="14"/>
  <c r="P408" i="14"/>
  <c r="P407" i="14"/>
  <c r="P406" i="14"/>
  <c r="P405" i="14"/>
  <c r="P404" i="14"/>
  <c r="P403" i="14"/>
  <c r="P402" i="14"/>
  <c r="P401" i="14"/>
  <c r="P400" i="14"/>
  <c r="P399" i="14"/>
  <c r="P398" i="14"/>
  <c r="P397" i="14"/>
  <c r="P396" i="14"/>
  <c r="P395" i="14"/>
  <c r="P394" i="14"/>
  <c r="P393" i="14"/>
  <c r="P392" i="14"/>
  <c r="P391" i="14"/>
  <c r="P390" i="14"/>
  <c r="P389" i="14"/>
  <c r="P388" i="14"/>
  <c r="P387" i="14"/>
  <c r="P386" i="14"/>
  <c r="P385" i="14"/>
  <c r="P384" i="14"/>
  <c r="P383" i="14"/>
  <c r="P382" i="14"/>
  <c r="P381" i="14"/>
  <c r="P380" i="14"/>
  <c r="P379" i="14"/>
  <c r="P378" i="14"/>
  <c r="P377" i="14"/>
  <c r="P376" i="14"/>
  <c r="P375" i="14"/>
  <c r="P374" i="14"/>
  <c r="P373" i="14"/>
  <c r="P372" i="14"/>
  <c r="P371" i="14"/>
  <c r="P370" i="14"/>
  <c r="P369" i="14"/>
  <c r="P368" i="14"/>
  <c r="P367" i="14"/>
  <c r="P366" i="14"/>
  <c r="P365" i="14"/>
  <c r="P364" i="14"/>
  <c r="P363" i="14"/>
  <c r="P362" i="14"/>
  <c r="P361" i="14"/>
  <c r="P360" i="14"/>
  <c r="P359" i="14"/>
  <c r="P358" i="14"/>
  <c r="P357" i="14"/>
  <c r="P356" i="14"/>
  <c r="P355" i="14"/>
  <c r="P354" i="14"/>
  <c r="P353" i="14"/>
  <c r="P352" i="14"/>
  <c r="P351" i="14"/>
  <c r="P350" i="14"/>
  <c r="P349" i="14"/>
  <c r="P348" i="14"/>
  <c r="P347" i="14"/>
  <c r="P346" i="14"/>
  <c r="P345" i="14"/>
  <c r="P344" i="14"/>
  <c r="P343" i="14"/>
  <c r="P342" i="14"/>
  <c r="P341" i="14"/>
  <c r="P340" i="14"/>
  <c r="P339" i="14"/>
  <c r="P338" i="14"/>
  <c r="P337" i="14"/>
  <c r="P336" i="14"/>
  <c r="P335" i="14"/>
  <c r="P334" i="14"/>
  <c r="P333" i="14"/>
  <c r="P332" i="14"/>
  <c r="P331" i="14"/>
  <c r="P330" i="14"/>
  <c r="P329" i="14"/>
  <c r="P328" i="14"/>
  <c r="P327" i="14"/>
  <c r="P326" i="14"/>
  <c r="P325" i="14"/>
  <c r="P324" i="14"/>
  <c r="P323" i="14"/>
  <c r="P322" i="14"/>
  <c r="P321" i="14"/>
  <c r="P320" i="14"/>
  <c r="P319" i="14"/>
  <c r="P318" i="14"/>
  <c r="P317" i="14"/>
  <c r="P316" i="14"/>
  <c r="P315" i="14"/>
  <c r="P314" i="14"/>
  <c r="P313" i="14"/>
  <c r="P312" i="14"/>
  <c r="P311" i="14"/>
  <c r="P310" i="14"/>
  <c r="P309" i="14"/>
  <c r="P308" i="14"/>
  <c r="P307" i="14"/>
  <c r="P306" i="14"/>
  <c r="P305" i="14"/>
  <c r="P304" i="14"/>
  <c r="P303" i="14"/>
  <c r="P302" i="14"/>
  <c r="P301" i="14"/>
  <c r="P300" i="14"/>
  <c r="P299" i="14"/>
  <c r="P298" i="14"/>
  <c r="P297" i="14"/>
  <c r="P296" i="14"/>
  <c r="P295" i="14"/>
  <c r="P294" i="14"/>
  <c r="P293" i="14"/>
  <c r="P292" i="14"/>
  <c r="P291" i="14"/>
  <c r="P290" i="14"/>
  <c r="P289" i="14"/>
  <c r="P288" i="14"/>
  <c r="P287" i="14"/>
  <c r="P286" i="14"/>
  <c r="P285" i="14"/>
  <c r="P284" i="14"/>
  <c r="P283" i="14"/>
  <c r="P282" i="14"/>
  <c r="P281" i="14"/>
  <c r="P280" i="14"/>
  <c r="P279" i="14"/>
  <c r="P278" i="14"/>
  <c r="P277" i="14"/>
  <c r="P276" i="14"/>
  <c r="P275" i="14"/>
  <c r="P274" i="14"/>
  <c r="P273" i="14"/>
  <c r="P272" i="14"/>
  <c r="P271" i="14"/>
  <c r="P270" i="14"/>
  <c r="P269" i="14"/>
  <c r="P268" i="14"/>
  <c r="P267" i="14"/>
  <c r="P266" i="14"/>
  <c r="P265" i="14"/>
  <c r="P264" i="14"/>
  <c r="P263" i="14"/>
  <c r="P262" i="14"/>
  <c r="P261" i="14"/>
  <c r="P260" i="14"/>
  <c r="P259" i="14"/>
  <c r="P258" i="14"/>
  <c r="P257" i="14"/>
  <c r="P256" i="14"/>
  <c r="P255" i="14"/>
  <c r="P254" i="14"/>
  <c r="P253" i="14"/>
  <c r="P252" i="14"/>
  <c r="P251" i="14"/>
  <c r="P250" i="14"/>
  <c r="P249" i="14"/>
  <c r="P248" i="14"/>
  <c r="P247" i="14"/>
  <c r="P246" i="14"/>
  <c r="P245" i="14"/>
  <c r="P244" i="14"/>
  <c r="P243" i="14"/>
  <c r="P242" i="14"/>
  <c r="P241" i="14"/>
  <c r="P240" i="14"/>
  <c r="P239" i="14"/>
  <c r="P238" i="14"/>
  <c r="P237" i="14"/>
  <c r="P236" i="14"/>
  <c r="P235" i="14"/>
  <c r="P234" i="14"/>
  <c r="P233" i="14"/>
  <c r="P232" i="14"/>
  <c r="P231" i="14"/>
  <c r="P230" i="14"/>
  <c r="P229" i="14"/>
  <c r="P228" i="14"/>
  <c r="P227" i="14"/>
  <c r="P226" i="14"/>
  <c r="P225" i="14"/>
  <c r="P224" i="14"/>
  <c r="P223" i="14"/>
  <c r="P222" i="14"/>
  <c r="P221" i="14"/>
  <c r="P220" i="14"/>
  <c r="P219" i="14"/>
  <c r="P218" i="14"/>
  <c r="P217" i="14"/>
  <c r="P216" i="14"/>
  <c r="P215" i="14"/>
  <c r="P214" i="14"/>
  <c r="P213" i="14"/>
  <c r="P212" i="14"/>
  <c r="P211" i="14"/>
  <c r="P210" i="14"/>
  <c r="P209" i="14"/>
  <c r="P208" i="14"/>
  <c r="P207" i="14"/>
  <c r="P206" i="14"/>
  <c r="P205" i="14"/>
  <c r="P204" i="14"/>
  <c r="P203" i="14"/>
  <c r="P202" i="14"/>
  <c r="P201" i="14"/>
  <c r="P200" i="14"/>
  <c r="P199" i="14"/>
  <c r="P198" i="14"/>
  <c r="P197" i="14"/>
  <c r="P196" i="14"/>
  <c r="P195" i="14"/>
  <c r="P194" i="14"/>
  <c r="P193" i="14"/>
  <c r="P192" i="14"/>
  <c r="P191" i="14"/>
  <c r="P190" i="14"/>
  <c r="P189" i="14"/>
  <c r="P188" i="14"/>
  <c r="P187" i="14"/>
  <c r="P186" i="14"/>
  <c r="P185" i="14"/>
  <c r="P184" i="14"/>
  <c r="P183" i="14"/>
  <c r="P182" i="14"/>
  <c r="P181" i="14"/>
  <c r="P180" i="14"/>
  <c r="P179" i="14"/>
  <c r="P178" i="14"/>
  <c r="P177" i="14"/>
  <c r="P176" i="14"/>
  <c r="P175" i="14"/>
  <c r="P174" i="14"/>
  <c r="P173" i="14"/>
  <c r="P172" i="14"/>
  <c r="P171" i="14"/>
  <c r="P170" i="14"/>
  <c r="P169" i="14"/>
  <c r="P168" i="14"/>
  <c r="P167" i="14"/>
  <c r="P166" i="14"/>
  <c r="P165" i="14"/>
  <c r="P164" i="14"/>
  <c r="P163" i="14"/>
  <c r="P162" i="14"/>
  <c r="P161" i="14"/>
  <c r="P160" i="14"/>
  <c r="P159" i="14"/>
  <c r="P158" i="14"/>
  <c r="P157" i="14"/>
  <c r="P156" i="14"/>
  <c r="P155" i="14"/>
  <c r="P154" i="14"/>
  <c r="P153" i="14"/>
  <c r="P152" i="14"/>
  <c r="P151" i="14"/>
  <c r="P150" i="14"/>
  <c r="P149" i="14"/>
  <c r="P148" i="14"/>
  <c r="P147" i="14"/>
  <c r="P146" i="14"/>
  <c r="P145" i="14"/>
  <c r="P144" i="14"/>
  <c r="P143" i="14"/>
  <c r="P142" i="14"/>
  <c r="P141" i="14"/>
  <c r="P140" i="14"/>
  <c r="P139" i="14"/>
  <c r="P138" i="14"/>
  <c r="P137" i="14"/>
  <c r="P136" i="14"/>
  <c r="P135" i="14"/>
  <c r="P134" i="14"/>
  <c r="P133" i="14"/>
  <c r="P132" i="14"/>
  <c r="P131" i="14"/>
  <c r="P130" i="14"/>
  <c r="P129" i="14"/>
  <c r="P128" i="14"/>
  <c r="P127" i="14"/>
  <c r="P126" i="14"/>
  <c r="P125" i="14"/>
  <c r="P124" i="14"/>
  <c r="P123" i="14"/>
  <c r="P122" i="14"/>
  <c r="P121" i="14"/>
  <c r="P120" i="14"/>
  <c r="P119" i="14"/>
  <c r="P118" i="14"/>
  <c r="P117" i="14"/>
  <c r="P116" i="14"/>
  <c r="P115" i="14"/>
  <c r="P114" i="14"/>
  <c r="P113" i="14"/>
  <c r="P112" i="14"/>
  <c r="P111" i="14"/>
  <c r="P110" i="14"/>
  <c r="P109" i="14"/>
  <c r="P108" i="14"/>
  <c r="P107" i="14"/>
  <c r="P106" i="14"/>
  <c r="P105" i="14"/>
  <c r="P104" i="14"/>
  <c r="P103" i="14"/>
  <c r="P102" i="14"/>
  <c r="P101" i="14"/>
  <c r="P100" i="14"/>
  <c r="P99" i="14"/>
  <c r="P98" i="14"/>
  <c r="P97" i="14"/>
  <c r="P96" i="14"/>
  <c r="P95" i="14"/>
  <c r="P94" i="14"/>
  <c r="P93" i="14"/>
  <c r="P92" i="14"/>
  <c r="P91" i="14"/>
  <c r="P90" i="14"/>
  <c r="P89" i="14"/>
  <c r="P88" i="14"/>
  <c r="P87" i="14"/>
  <c r="P86" i="14"/>
  <c r="P85" i="14"/>
  <c r="P84" i="14"/>
  <c r="P83" i="14"/>
  <c r="P82" i="14"/>
  <c r="P81" i="14"/>
  <c r="P80" i="14"/>
  <c r="P79" i="14"/>
  <c r="P78" i="14"/>
  <c r="P77" i="14"/>
  <c r="P76" i="14"/>
  <c r="P75" i="14"/>
  <c r="P74" i="14"/>
  <c r="P73" i="14"/>
  <c r="P72" i="14"/>
  <c r="P71" i="14"/>
  <c r="P70" i="14"/>
  <c r="P69" i="14"/>
  <c r="P68" i="14"/>
  <c r="P67" i="14"/>
  <c r="P66" i="14"/>
  <c r="P65" i="14"/>
  <c r="P64" i="14"/>
  <c r="P63" i="14"/>
  <c r="P62" i="14"/>
  <c r="P61" i="14"/>
  <c r="P60" i="14"/>
  <c r="P59" i="14"/>
  <c r="P58" i="14"/>
  <c r="P57" i="14"/>
  <c r="P56" i="14"/>
  <c r="P55" i="14"/>
  <c r="P54" i="14"/>
  <c r="P53" i="14"/>
  <c r="P52" i="14"/>
  <c r="P51" i="14"/>
  <c r="P50" i="14"/>
  <c r="P49" i="14"/>
  <c r="P48" i="14"/>
  <c r="P47" i="14"/>
  <c r="P46" i="14"/>
  <c r="P45" i="14"/>
  <c r="P44" i="14"/>
  <c r="P43" i="14"/>
  <c r="P42" i="14"/>
  <c r="P41" i="14"/>
  <c r="P40" i="14"/>
  <c r="P39" i="14"/>
  <c r="P38" i="14"/>
  <c r="P37" i="14"/>
  <c r="P36" i="14"/>
  <c r="P35" i="14"/>
  <c r="P34" i="14"/>
  <c r="P33" i="14"/>
  <c r="P32" i="14"/>
  <c r="P31" i="14"/>
  <c r="P30" i="14"/>
  <c r="P29" i="14"/>
  <c r="P28" i="14"/>
  <c r="P27" i="14"/>
  <c r="P26" i="14"/>
  <c r="P25" i="14"/>
  <c r="P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11" i="14"/>
  <c r="P10" i="14"/>
  <c r="P9" i="14"/>
  <c r="P8" i="14"/>
  <c r="P7" i="14"/>
  <c r="P6" i="14"/>
  <c r="P5" i="14"/>
  <c r="N52" i="21" l="1"/>
  <c r="N50" i="21"/>
  <c r="N13" i="21"/>
  <c r="N18" i="21"/>
  <c r="N44" i="21"/>
  <c r="N38" i="21"/>
  <c r="P792" i="20"/>
  <c r="P791" i="20"/>
  <c r="P790" i="20"/>
  <c r="P789" i="20"/>
  <c r="P788" i="20"/>
  <c r="P787" i="20"/>
  <c r="P786" i="20"/>
  <c r="P785" i="20"/>
  <c r="P784" i="20"/>
  <c r="P783" i="20"/>
  <c r="P782" i="20"/>
  <c r="P781" i="20"/>
  <c r="P780" i="20"/>
  <c r="P779" i="20"/>
  <c r="P778" i="20"/>
  <c r="P777" i="20"/>
  <c r="P776" i="20"/>
  <c r="P775" i="20"/>
  <c r="P774" i="20"/>
  <c r="P773" i="20"/>
  <c r="P772" i="20"/>
  <c r="P771" i="20"/>
  <c r="P770" i="20"/>
  <c r="P769" i="20"/>
  <c r="P768" i="20"/>
  <c r="P767" i="20"/>
  <c r="P766" i="20"/>
  <c r="P765" i="20"/>
  <c r="P764" i="20"/>
  <c r="P763" i="20"/>
  <c r="P762" i="20"/>
  <c r="P761" i="20"/>
  <c r="P760" i="20"/>
  <c r="P759" i="20"/>
  <c r="P758" i="20"/>
  <c r="P757" i="20"/>
  <c r="P756" i="20"/>
  <c r="P755" i="20"/>
  <c r="P754" i="20"/>
  <c r="P753" i="20"/>
  <c r="P752" i="20"/>
  <c r="P751" i="20"/>
  <c r="P750" i="20"/>
  <c r="P749" i="20"/>
  <c r="P748" i="20"/>
  <c r="P747" i="20"/>
  <c r="P746" i="20"/>
  <c r="P745" i="20"/>
  <c r="P744" i="20"/>
  <c r="P743" i="20"/>
  <c r="P742" i="20"/>
  <c r="P741" i="20"/>
  <c r="P740" i="20"/>
  <c r="P739" i="20"/>
  <c r="P738" i="20"/>
  <c r="P737" i="20"/>
  <c r="P736" i="20"/>
  <c r="P735" i="20"/>
  <c r="P734" i="20"/>
  <c r="P733" i="20"/>
  <c r="P732" i="20"/>
  <c r="P731" i="20"/>
  <c r="P730" i="20"/>
  <c r="P729" i="20"/>
  <c r="P728" i="20"/>
  <c r="P727" i="20"/>
  <c r="P726" i="20"/>
  <c r="P725" i="20"/>
  <c r="P724" i="20"/>
  <c r="P723" i="20"/>
  <c r="P722" i="20"/>
  <c r="P721" i="20"/>
  <c r="P720" i="20"/>
  <c r="P719" i="20"/>
  <c r="P718" i="20"/>
  <c r="P717" i="20"/>
  <c r="P716" i="20"/>
  <c r="P715" i="20"/>
  <c r="P714" i="20"/>
  <c r="P713" i="20"/>
  <c r="P712" i="20"/>
  <c r="P711" i="20"/>
  <c r="P710" i="20"/>
  <c r="P709" i="20"/>
  <c r="P708" i="20"/>
  <c r="P707" i="20"/>
  <c r="P706" i="20"/>
  <c r="P705" i="20"/>
  <c r="P704" i="20"/>
  <c r="P703" i="20"/>
  <c r="P702" i="20"/>
  <c r="P701" i="20"/>
  <c r="P700" i="20"/>
  <c r="P699" i="20"/>
  <c r="P698" i="20"/>
  <c r="P697" i="20"/>
  <c r="P696" i="20"/>
  <c r="P695" i="20"/>
  <c r="P694" i="20"/>
  <c r="P693" i="20"/>
  <c r="P692" i="20"/>
  <c r="P691" i="20"/>
  <c r="P690" i="20"/>
  <c r="P689" i="20"/>
  <c r="P688" i="20"/>
  <c r="P687" i="20"/>
  <c r="P686" i="20"/>
  <c r="P685" i="20"/>
  <c r="P684" i="20"/>
  <c r="P683" i="20"/>
  <c r="P682" i="20"/>
  <c r="P681" i="20"/>
  <c r="P680" i="20"/>
  <c r="P679" i="20"/>
  <c r="P678" i="20"/>
  <c r="P677" i="20"/>
  <c r="P676" i="20"/>
  <c r="P675" i="20"/>
  <c r="P674" i="20"/>
  <c r="P673" i="20"/>
  <c r="P672" i="20"/>
  <c r="P671" i="20"/>
  <c r="P670" i="20"/>
  <c r="P669" i="20"/>
  <c r="P668" i="20"/>
  <c r="P667" i="20"/>
  <c r="P666" i="20"/>
  <c r="P665" i="20"/>
  <c r="P664" i="20"/>
  <c r="P663" i="20"/>
  <c r="P662" i="20"/>
  <c r="P661" i="20"/>
  <c r="P660" i="20"/>
  <c r="P659" i="20"/>
  <c r="P658" i="20"/>
  <c r="P657" i="20"/>
  <c r="P656" i="20"/>
  <c r="P655" i="20"/>
  <c r="P654" i="20"/>
  <c r="P653" i="20"/>
  <c r="P652" i="20"/>
  <c r="P651" i="20"/>
  <c r="P650" i="20"/>
  <c r="P649" i="20"/>
  <c r="P648" i="20"/>
  <c r="P647" i="20"/>
  <c r="P646" i="20"/>
  <c r="P645" i="20"/>
  <c r="P644" i="20"/>
  <c r="P643" i="20"/>
  <c r="P642" i="20"/>
  <c r="P641" i="20"/>
  <c r="P640" i="20"/>
  <c r="P639" i="20"/>
  <c r="P638" i="20"/>
  <c r="P637" i="20"/>
  <c r="P636" i="20"/>
  <c r="P635" i="20"/>
  <c r="P634" i="20"/>
  <c r="P633" i="20"/>
  <c r="P632" i="20"/>
  <c r="P631" i="20"/>
  <c r="P630" i="20"/>
  <c r="P629" i="20"/>
  <c r="P628" i="20"/>
  <c r="P627" i="20"/>
  <c r="P626" i="20"/>
  <c r="P625" i="20"/>
  <c r="P624" i="20"/>
  <c r="P623" i="20"/>
  <c r="P622" i="20"/>
  <c r="P621" i="20"/>
  <c r="P620" i="20"/>
  <c r="P619" i="20"/>
  <c r="P618" i="20"/>
  <c r="P617" i="20"/>
  <c r="P616" i="20"/>
  <c r="P615" i="20"/>
  <c r="P614" i="20"/>
  <c r="P613" i="20"/>
  <c r="P612" i="20"/>
  <c r="P611" i="20"/>
  <c r="P610" i="20"/>
  <c r="P609" i="20"/>
  <c r="P608" i="20"/>
  <c r="P607" i="20"/>
  <c r="P606" i="20"/>
  <c r="P605" i="20"/>
  <c r="P604" i="20"/>
  <c r="P603" i="20"/>
  <c r="P602" i="20"/>
  <c r="P601" i="20"/>
  <c r="P600" i="20"/>
  <c r="P599" i="20"/>
  <c r="P598" i="20"/>
  <c r="P597" i="20"/>
  <c r="P596" i="20"/>
  <c r="P595" i="20"/>
  <c r="P594" i="20"/>
  <c r="P593" i="20"/>
  <c r="P592" i="20"/>
  <c r="P591" i="20"/>
  <c r="P590" i="20"/>
  <c r="P589" i="20"/>
  <c r="P588" i="20"/>
  <c r="P587" i="20"/>
  <c r="P586" i="20"/>
  <c r="P585" i="20"/>
  <c r="P584" i="20"/>
  <c r="P583" i="20"/>
  <c r="P582" i="20"/>
  <c r="P581" i="20"/>
  <c r="P580" i="20"/>
  <c r="P579" i="20"/>
  <c r="P578" i="20"/>
  <c r="P577" i="20"/>
  <c r="P576" i="20"/>
  <c r="P575" i="20"/>
  <c r="P574" i="20"/>
  <c r="P573" i="20"/>
  <c r="P572" i="20"/>
  <c r="P571" i="20"/>
  <c r="P570" i="20"/>
  <c r="P569" i="20"/>
  <c r="P568" i="20"/>
  <c r="P567" i="20"/>
  <c r="P566" i="20"/>
  <c r="P565" i="20"/>
  <c r="P564" i="20"/>
  <c r="P563" i="20"/>
  <c r="P562" i="20"/>
  <c r="P561" i="20"/>
  <c r="P560" i="20"/>
  <c r="P559" i="20"/>
  <c r="P558" i="20"/>
  <c r="P557" i="20"/>
  <c r="P556" i="20"/>
  <c r="P555" i="20"/>
  <c r="P554" i="20"/>
  <c r="P553" i="20"/>
  <c r="P552" i="20"/>
  <c r="P551" i="20"/>
  <c r="P550" i="20"/>
  <c r="P549" i="20"/>
  <c r="P548" i="20"/>
  <c r="P547" i="20"/>
  <c r="P546" i="20"/>
  <c r="P545" i="20"/>
  <c r="P544" i="20"/>
  <c r="P543" i="20"/>
  <c r="P542" i="20"/>
  <c r="P541" i="20"/>
  <c r="P540" i="20"/>
  <c r="P539" i="20"/>
  <c r="P538" i="20"/>
  <c r="P537" i="20"/>
  <c r="P536" i="20"/>
  <c r="P535" i="20"/>
  <c r="P534" i="20"/>
  <c r="P533" i="20"/>
  <c r="P532" i="20"/>
  <c r="P531" i="20"/>
  <c r="P530" i="20"/>
  <c r="P529" i="20"/>
  <c r="P528" i="20"/>
  <c r="P527" i="20"/>
  <c r="P526" i="20"/>
  <c r="P525" i="20"/>
  <c r="P524" i="20"/>
  <c r="P523" i="20"/>
  <c r="P522" i="20"/>
  <c r="P521" i="20"/>
  <c r="P520" i="20"/>
  <c r="P519" i="20"/>
  <c r="P518" i="20"/>
  <c r="P517" i="20"/>
  <c r="P516" i="20"/>
  <c r="P515" i="20"/>
  <c r="P514" i="20"/>
  <c r="P513" i="20"/>
  <c r="P512" i="20"/>
  <c r="P511" i="20"/>
  <c r="P510" i="20"/>
  <c r="P509" i="20"/>
  <c r="P508" i="20"/>
  <c r="P507" i="20"/>
  <c r="P506" i="20"/>
  <c r="P505" i="20"/>
  <c r="P504" i="20"/>
  <c r="P503" i="20"/>
  <c r="P502" i="20"/>
  <c r="P501" i="20"/>
  <c r="P500" i="20"/>
  <c r="P499" i="20"/>
  <c r="P498" i="20"/>
  <c r="P497" i="20"/>
  <c r="P496" i="20"/>
  <c r="P495" i="20"/>
  <c r="P494" i="20"/>
  <c r="P493" i="20"/>
  <c r="P492" i="20"/>
  <c r="P491" i="20"/>
  <c r="P490" i="20"/>
  <c r="P489" i="20"/>
  <c r="P488" i="20"/>
  <c r="P487" i="20"/>
  <c r="P486" i="20"/>
  <c r="P485" i="20"/>
  <c r="P484" i="20"/>
  <c r="P483" i="20"/>
  <c r="P482" i="20"/>
  <c r="P481" i="20"/>
  <c r="P480" i="20"/>
  <c r="P479" i="20"/>
  <c r="P478" i="20"/>
  <c r="P477" i="20"/>
  <c r="P476" i="20"/>
  <c r="P475" i="20"/>
  <c r="P474" i="20"/>
  <c r="P473" i="20"/>
  <c r="P472" i="20"/>
  <c r="P471" i="20"/>
  <c r="P470" i="20"/>
  <c r="P469" i="20"/>
  <c r="P468" i="20"/>
  <c r="P467" i="20"/>
  <c r="P466" i="20"/>
  <c r="P465" i="20"/>
  <c r="P464" i="20"/>
  <c r="P463" i="20"/>
  <c r="P462" i="20"/>
  <c r="P461" i="20"/>
  <c r="P460" i="20"/>
  <c r="P459" i="20"/>
  <c r="P458" i="20"/>
  <c r="P457" i="20"/>
  <c r="P456" i="20"/>
  <c r="P455" i="20"/>
  <c r="P454" i="20"/>
  <c r="P453" i="20"/>
  <c r="P452" i="20"/>
  <c r="P451" i="20"/>
  <c r="P450" i="20"/>
  <c r="P449" i="20"/>
  <c r="P448" i="20"/>
  <c r="P447" i="20"/>
  <c r="P446" i="20"/>
  <c r="P445" i="20"/>
  <c r="P444" i="20"/>
  <c r="P443" i="20"/>
  <c r="P442" i="20"/>
  <c r="P441" i="20"/>
  <c r="P440" i="20"/>
  <c r="P439" i="20"/>
  <c r="P438" i="20"/>
  <c r="P437" i="20"/>
  <c r="P436" i="20"/>
  <c r="P435" i="20"/>
  <c r="P434" i="20"/>
  <c r="P433" i="20"/>
  <c r="P432" i="20"/>
  <c r="P431" i="20"/>
  <c r="P430" i="20"/>
  <c r="P429" i="20"/>
  <c r="P428" i="20"/>
  <c r="P427" i="20"/>
  <c r="P426" i="20"/>
  <c r="P425" i="20"/>
  <c r="P424" i="20"/>
  <c r="P423" i="20"/>
  <c r="P422" i="20"/>
  <c r="P421" i="20"/>
  <c r="P420" i="20"/>
  <c r="P419" i="20"/>
  <c r="P418" i="20"/>
  <c r="P417" i="20"/>
  <c r="P416" i="20"/>
  <c r="P415" i="20"/>
  <c r="P414" i="20"/>
  <c r="P413" i="20"/>
  <c r="P412" i="20"/>
  <c r="P411" i="20"/>
  <c r="P410" i="20"/>
  <c r="P409" i="20"/>
  <c r="P408" i="20"/>
  <c r="P407" i="20"/>
  <c r="P406" i="20"/>
  <c r="P405" i="20"/>
  <c r="P404" i="20"/>
  <c r="P403" i="20"/>
  <c r="P402" i="20"/>
  <c r="P401" i="20"/>
  <c r="P400" i="20"/>
  <c r="P399" i="20"/>
  <c r="P398" i="20"/>
  <c r="P397" i="20"/>
  <c r="P396" i="20"/>
  <c r="P395" i="20"/>
  <c r="P394" i="20"/>
  <c r="P393" i="20"/>
  <c r="P392" i="20"/>
  <c r="P391" i="20"/>
  <c r="P390" i="20"/>
  <c r="P389" i="20"/>
  <c r="P388" i="20"/>
  <c r="P387" i="20"/>
  <c r="P386" i="20"/>
  <c r="P385" i="20"/>
  <c r="P384" i="20"/>
  <c r="P383" i="20"/>
  <c r="P382" i="20"/>
  <c r="P381" i="20"/>
  <c r="P380" i="20"/>
  <c r="P379" i="20"/>
  <c r="P378" i="20"/>
  <c r="P377" i="20"/>
  <c r="P376" i="20"/>
  <c r="P375" i="20"/>
  <c r="P374" i="20"/>
  <c r="P373" i="20"/>
  <c r="P372" i="20"/>
  <c r="P371" i="20"/>
  <c r="P370" i="20"/>
  <c r="P369" i="20"/>
  <c r="P368" i="20"/>
  <c r="P367" i="20"/>
  <c r="P366" i="20"/>
  <c r="P365" i="20"/>
  <c r="P364" i="20"/>
  <c r="P363" i="20"/>
  <c r="P362" i="20"/>
  <c r="P361" i="20"/>
  <c r="P360" i="20"/>
  <c r="P359" i="20"/>
  <c r="P358" i="20"/>
  <c r="P357" i="20"/>
  <c r="P356" i="20"/>
  <c r="P355" i="20"/>
  <c r="P354" i="20"/>
  <c r="P353" i="20"/>
  <c r="P352" i="20"/>
  <c r="P351" i="20"/>
  <c r="P350" i="20"/>
  <c r="P349" i="20"/>
  <c r="P348" i="20"/>
  <c r="P347" i="20"/>
  <c r="P346" i="20"/>
  <c r="P345" i="20"/>
  <c r="P344" i="20"/>
  <c r="P343" i="20"/>
  <c r="P342" i="20"/>
  <c r="P341" i="20"/>
  <c r="P340" i="20"/>
  <c r="P339" i="20"/>
  <c r="P338" i="20"/>
  <c r="P337" i="20"/>
  <c r="P336" i="20"/>
  <c r="P335" i="20"/>
  <c r="P334" i="20"/>
  <c r="P333" i="20"/>
  <c r="P332" i="20"/>
  <c r="P331" i="20"/>
  <c r="P330" i="20"/>
  <c r="P329" i="20"/>
  <c r="P328" i="20"/>
  <c r="P327" i="20"/>
  <c r="P326" i="20"/>
  <c r="P325" i="20"/>
  <c r="P324" i="20"/>
  <c r="P323" i="20"/>
  <c r="P322" i="20"/>
  <c r="P321" i="20"/>
  <c r="P320" i="20"/>
  <c r="P319" i="20"/>
  <c r="P318" i="20"/>
  <c r="P317" i="20"/>
  <c r="P316" i="20"/>
  <c r="P315" i="20"/>
  <c r="P314" i="20"/>
  <c r="P313" i="20"/>
  <c r="P312" i="20"/>
  <c r="P311" i="20"/>
  <c r="P310" i="20"/>
  <c r="P309" i="20"/>
  <c r="P308" i="20"/>
  <c r="P307" i="20"/>
  <c r="P306" i="20"/>
  <c r="P305" i="20"/>
  <c r="P304" i="20"/>
  <c r="P303" i="20"/>
  <c r="P302" i="20"/>
  <c r="P301" i="20"/>
  <c r="P300" i="20"/>
  <c r="P299" i="20"/>
  <c r="P298" i="20"/>
  <c r="P297" i="20"/>
  <c r="P296" i="20"/>
  <c r="P295" i="20"/>
  <c r="P294" i="20"/>
  <c r="P293" i="20"/>
  <c r="P292" i="20"/>
  <c r="P291" i="20"/>
  <c r="P290" i="20"/>
  <c r="P289" i="20"/>
  <c r="P288" i="20"/>
  <c r="P287" i="20"/>
  <c r="P286" i="20"/>
  <c r="P285" i="20"/>
  <c r="P284" i="20"/>
  <c r="P283" i="20"/>
  <c r="P282" i="20"/>
  <c r="P281" i="20"/>
  <c r="P280" i="20"/>
  <c r="P279" i="20"/>
  <c r="P278" i="20"/>
  <c r="P277" i="20"/>
  <c r="P276" i="20"/>
  <c r="P275" i="20"/>
  <c r="P274" i="20"/>
  <c r="P273" i="20"/>
  <c r="P272" i="20"/>
  <c r="P271" i="20"/>
  <c r="P270" i="20"/>
  <c r="P269" i="20"/>
  <c r="P268" i="20"/>
  <c r="P267" i="20"/>
  <c r="P266" i="20"/>
  <c r="P265" i="20"/>
  <c r="P264" i="20"/>
  <c r="P263" i="20"/>
  <c r="P262" i="20"/>
  <c r="P261" i="20"/>
  <c r="P260" i="20"/>
  <c r="P259" i="20"/>
  <c r="P258" i="20"/>
  <c r="P257" i="20"/>
  <c r="P256" i="20"/>
  <c r="P255" i="20"/>
  <c r="P254" i="20"/>
  <c r="P253" i="20"/>
  <c r="P252" i="20"/>
  <c r="P251" i="20"/>
  <c r="P250" i="20"/>
  <c r="P249" i="20"/>
  <c r="P248" i="20"/>
  <c r="P247" i="20"/>
  <c r="P246" i="20"/>
  <c r="P245" i="20"/>
  <c r="P244" i="20"/>
  <c r="P243" i="20"/>
  <c r="P242" i="20"/>
  <c r="P241" i="20"/>
  <c r="P240" i="20"/>
  <c r="P239" i="20"/>
  <c r="P238" i="20"/>
  <c r="P237" i="20"/>
  <c r="P236" i="20"/>
  <c r="P235" i="20"/>
  <c r="P234" i="20"/>
  <c r="P233" i="20"/>
  <c r="P232" i="20"/>
  <c r="P231" i="20"/>
  <c r="P230" i="20"/>
  <c r="P229" i="20"/>
  <c r="P228" i="20"/>
  <c r="P227" i="20"/>
  <c r="P226" i="20"/>
  <c r="P225" i="20"/>
  <c r="P224" i="20"/>
  <c r="P223" i="20"/>
  <c r="P222" i="20"/>
  <c r="P221" i="20"/>
  <c r="P220" i="20"/>
  <c r="P219" i="20"/>
  <c r="P218" i="20"/>
  <c r="P217" i="20"/>
  <c r="P216" i="20"/>
  <c r="P215" i="20"/>
  <c r="P214" i="20"/>
  <c r="P213" i="20"/>
  <c r="P212" i="20"/>
  <c r="P211" i="20"/>
  <c r="P210" i="20"/>
  <c r="P209" i="20"/>
  <c r="P208" i="20"/>
  <c r="P207" i="20"/>
  <c r="P206" i="20"/>
  <c r="P205" i="20"/>
  <c r="P204" i="20"/>
  <c r="P203" i="20"/>
  <c r="P202" i="20"/>
  <c r="P201" i="20"/>
  <c r="P200" i="20"/>
  <c r="P199" i="20"/>
  <c r="P198" i="20"/>
  <c r="P197" i="20"/>
  <c r="P196" i="20"/>
  <c r="P195" i="20"/>
  <c r="P194" i="20"/>
  <c r="P193" i="20"/>
  <c r="P192" i="20"/>
  <c r="P191" i="20"/>
  <c r="P190" i="20"/>
  <c r="P189" i="20"/>
  <c r="P188" i="20"/>
  <c r="P187" i="20"/>
  <c r="P186" i="20"/>
  <c r="P185" i="20"/>
  <c r="P184" i="20"/>
  <c r="P183" i="20"/>
  <c r="P182" i="20"/>
  <c r="P181" i="20"/>
  <c r="P180" i="20"/>
  <c r="P179" i="20"/>
  <c r="P178" i="20"/>
  <c r="P177" i="20"/>
  <c r="P176" i="20"/>
  <c r="P175" i="20"/>
  <c r="P174" i="20"/>
  <c r="P173" i="20"/>
  <c r="P172" i="20"/>
  <c r="P171" i="20"/>
  <c r="P170" i="20"/>
  <c r="P169" i="20"/>
  <c r="P168" i="20"/>
  <c r="P167" i="20"/>
  <c r="P166" i="20"/>
  <c r="P165" i="20"/>
  <c r="P164" i="20"/>
  <c r="P163" i="20"/>
  <c r="P162" i="20"/>
  <c r="P161" i="20"/>
  <c r="P160" i="20"/>
  <c r="P159" i="20"/>
  <c r="P158" i="20"/>
  <c r="P157" i="20"/>
  <c r="P156" i="20"/>
  <c r="P155" i="20"/>
  <c r="P154" i="20"/>
  <c r="P153" i="20"/>
  <c r="P152" i="20"/>
  <c r="P151" i="20"/>
  <c r="P150" i="20"/>
  <c r="P149" i="20"/>
  <c r="P148" i="20"/>
  <c r="P147" i="20"/>
  <c r="P146" i="20"/>
  <c r="P145" i="20"/>
  <c r="P144" i="20"/>
  <c r="P143" i="20"/>
  <c r="P142" i="20"/>
  <c r="P141" i="20"/>
  <c r="P140" i="20"/>
  <c r="P139" i="20"/>
  <c r="P138" i="20"/>
  <c r="P137" i="20"/>
  <c r="P136" i="20"/>
  <c r="P135" i="20"/>
  <c r="P134" i="20"/>
  <c r="P133" i="20"/>
  <c r="P132" i="20"/>
  <c r="P131" i="20"/>
  <c r="P130" i="20"/>
  <c r="P129" i="20"/>
  <c r="P128" i="20"/>
  <c r="P127" i="20"/>
  <c r="P126" i="20"/>
  <c r="P125" i="20"/>
  <c r="P124" i="20"/>
  <c r="P123" i="20"/>
  <c r="P122" i="20"/>
  <c r="P121" i="20"/>
  <c r="P120" i="20"/>
  <c r="P119" i="20"/>
  <c r="P118" i="20"/>
  <c r="P117" i="20"/>
  <c r="P116" i="20"/>
  <c r="P115" i="20"/>
  <c r="P114" i="20"/>
  <c r="P113" i="20"/>
  <c r="P112" i="20"/>
  <c r="P111" i="20"/>
  <c r="P110" i="20"/>
  <c r="P109" i="20"/>
  <c r="P108" i="20"/>
  <c r="P107" i="20"/>
  <c r="P106" i="20"/>
  <c r="P105" i="20"/>
  <c r="P104" i="20"/>
  <c r="P103" i="20"/>
  <c r="P102" i="20"/>
  <c r="P101" i="20"/>
  <c r="P100" i="20"/>
  <c r="P99" i="20"/>
  <c r="P98" i="20"/>
  <c r="P97" i="20"/>
  <c r="P96" i="20"/>
  <c r="P95" i="20"/>
  <c r="P94" i="20"/>
  <c r="P93" i="20"/>
  <c r="P92" i="20"/>
  <c r="P91" i="20"/>
  <c r="P90" i="20"/>
  <c r="P89" i="20"/>
  <c r="P88" i="20"/>
  <c r="P87" i="20"/>
  <c r="P86" i="20"/>
  <c r="P85" i="20"/>
  <c r="P84" i="20"/>
  <c r="P83" i="20"/>
  <c r="P82" i="20"/>
  <c r="P81" i="20"/>
  <c r="P80" i="20"/>
  <c r="P79" i="20"/>
  <c r="P78" i="20"/>
  <c r="P77" i="20"/>
  <c r="P76" i="20"/>
  <c r="P75" i="20"/>
  <c r="P74" i="20"/>
  <c r="P73" i="20"/>
  <c r="P72" i="20"/>
  <c r="P71" i="20"/>
  <c r="P70" i="20"/>
  <c r="P69" i="20"/>
  <c r="P68" i="20"/>
  <c r="P67" i="20"/>
  <c r="P66" i="20"/>
  <c r="P65" i="20"/>
  <c r="P64" i="20"/>
  <c r="P63" i="20"/>
  <c r="P62" i="20"/>
  <c r="P61" i="20"/>
  <c r="P60" i="20"/>
  <c r="P59" i="20"/>
  <c r="P58" i="20"/>
  <c r="P57" i="20"/>
  <c r="P56" i="20"/>
  <c r="P55" i="20"/>
  <c r="P54" i="20"/>
  <c r="P53" i="20"/>
  <c r="P52" i="20"/>
  <c r="P51" i="20"/>
  <c r="P50" i="20"/>
  <c r="P49" i="20"/>
  <c r="P48" i="20"/>
  <c r="P47" i="20"/>
  <c r="P46" i="20"/>
  <c r="P45" i="20"/>
  <c r="P44" i="20"/>
  <c r="P43" i="20"/>
  <c r="P42" i="20"/>
  <c r="P41" i="20"/>
  <c r="P40" i="20"/>
  <c r="P39" i="20"/>
  <c r="P38" i="20"/>
  <c r="P37" i="20"/>
  <c r="P36" i="20"/>
  <c r="P35" i="20"/>
  <c r="P34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P18" i="20"/>
  <c r="P17" i="20"/>
  <c r="P16" i="20"/>
  <c r="P15" i="20"/>
  <c r="P14" i="20"/>
  <c r="P13" i="20"/>
  <c r="P12" i="20"/>
  <c r="P11" i="20"/>
  <c r="P10" i="20"/>
  <c r="P9" i="20"/>
  <c r="P8" i="20"/>
  <c r="P7" i="20"/>
  <c r="P6" i="20"/>
  <c r="P5" i="20"/>
  <c r="N792" i="20"/>
  <c r="N791" i="20"/>
  <c r="N790" i="20"/>
  <c r="N789" i="20"/>
  <c r="N788" i="20"/>
  <c r="N787" i="20"/>
  <c r="N786" i="20"/>
  <c r="N785" i="20"/>
  <c r="N784" i="20"/>
  <c r="N783" i="20"/>
  <c r="N782" i="20"/>
  <c r="N781" i="20"/>
  <c r="N780" i="20"/>
  <c r="N779" i="20"/>
  <c r="N778" i="20"/>
  <c r="N777" i="20"/>
  <c r="N776" i="20"/>
  <c r="N775" i="20"/>
  <c r="N774" i="20"/>
  <c r="N773" i="20"/>
  <c r="N772" i="20"/>
  <c r="N771" i="20"/>
  <c r="N770" i="20"/>
  <c r="N769" i="20"/>
  <c r="N768" i="20"/>
  <c r="N767" i="20"/>
  <c r="N766" i="20"/>
  <c r="N765" i="20"/>
  <c r="N764" i="20"/>
  <c r="N763" i="20"/>
  <c r="N762" i="20"/>
  <c r="N761" i="20"/>
  <c r="N760" i="20"/>
  <c r="N759" i="20"/>
  <c r="N758" i="20"/>
  <c r="N757" i="20"/>
  <c r="N756" i="20"/>
  <c r="N755" i="20"/>
  <c r="N754" i="20"/>
  <c r="N753" i="20"/>
  <c r="N752" i="20"/>
  <c r="N751" i="20"/>
  <c r="N750" i="20"/>
  <c r="N749" i="20"/>
  <c r="N748" i="20"/>
  <c r="N747" i="20"/>
  <c r="N746" i="20"/>
  <c r="N745" i="20"/>
  <c r="N744" i="20"/>
  <c r="N743" i="20"/>
  <c r="N742" i="20"/>
  <c r="N741" i="20"/>
  <c r="N740" i="20"/>
  <c r="N739" i="20"/>
  <c r="N738" i="20"/>
  <c r="N737" i="20"/>
  <c r="N736" i="20"/>
  <c r="N735" i="20"/>
  <c r="N734" i="20"/>
  <c r="N733" i="20"/>
  <c r="N732" i="20"/>
  <c r="N731" i="20"/>
  <c r="N730" i="20"/>
  <c r="N729" i="20"/>
  <c r="N728" i="20"/>
  <c r="N727" i="20"/>
  <c r="N726" i="20"/>
  <c r="N725" i="20"/>
  <c r="N724" i="20"/>
  <c r="N723" i="20"/>
  <c r="N722" i="20"/>
  <c r="N721" i="20"/>
  <c r="N720" i="20"/>
  <c r="N719" i="20"/>
  <c r="N718" i="20"/>
  <c r="N717" i="20"/>
  <c r="N716" i="20"/>
  <c r="N715" i="20"/>
  <c r="N714" i="20"/>
  <c r="N713" i="20"/>
  <c r="N712" i="20"/>
  <c r="N711" i="20"/>
  <c r="N710" i="20"/>
  <c r="N709" i="20"/>
  <c r="N708" i="20"/>
  <c r="N707" i="20"/>
  <c r="N706" i="20"/>
  <c r="N705" i="20"/>
  <c r="N704" i="20"/>
  <c r="N703" i="20"/>
  <c r="N702" i="20"/>
  <c r="N701" i="20"/>
  <c r="N700" i="20"/>
  <c r="N699" i="20"/>
  <c r="N698" i="20"/>
  <c r="N697" i="20"/>
  <c r="N696" i="20"/>
  <c r="N695" i="20"/>
  <c r="N694" i="20"/>
  <c r="N693" i="20"/>
  <c r="N692" i="20"/>
  <c r="N691" i="20"/>
  <c r="N690" i="20"/>
  <c r="N689" i="20"/>
  <c r="N688" i="20"/>
  <c r="N687" i="20"/>
  <c r="N686" i="20"/>
  <c r="N685" i="20"/>
  <c r="N684" i="20"/>
  <c r="N683" i="20"/>
  <c r="N682" i="20"/>
  <c r="N681" i="20"/>
  <c r="N680" i="20"/>
  <c r="N679" i="20"/>
  <c r="N678" i="20"/>
  <c r="N677" i="20"/>
  <c r="N676" i="20"/>
  <c r="N675" i="20"/>
  <c r="N674" i="20"/>
  <c r="N673" i="20"/>
  <c r="N672" i="20"/>
  <c r="N671" i="20"/>
  <c r="N670" i="20"/>
  <c r="N669" i="20"/>
  <c r="N668" i="20"/>
  <c r="N667" i="20"/>
  <c r="N666" i="20"/>
  <c r="N665" i="20"/>
  <c r="N664" i="20"/>
  <c r="N663" i="20"/>
  <c r="N662" i="20"/>
  <c r="N661" i="20"/>
  <c r="N660" i="20"/>
  <c r="N659" i="20"/>
  <c r="N658" i="20"/>
  <c r="N657" i="20"/>
  <c r="N656" i="20"/>
  <c r="N655" i="20"/>
  <c r="N654" i="20"/>
  <c r="N653" i="20"/>
  <c r="N652" i="20"/>
  <c r="N651" i="20"/>
  <c r="N650" i="20"/>
  <c r="N649" i="20"/>
  <c r="N648" i="20"/>
  <c r="N647" i="20"/>
  <c r="N646" i="20"/>
  <c r="N645" i="20"/>
  <c r="N644" i="20"/>
  <c r="N643" i="20"/>
  <c r="N642" i="20"/>
  <c r="N641" i="20"/>
  <c r="N640" i="20"/>
  <c r="N639" i="20"/>
  <c r="N638" i="20"/>
  <c r="N637" i="20"/>
  <c r="N636" i="20"/>
  <c r="N635" i="20"/>
  <c r="N634" i="20"/>
  <c r="N633" i="20"/>
  <c r="N632" i="20"/>
  <c r="N631" i="20"/>
  <c r="N630" i="20"/>
  <c r="N629" i="20"/>
  <c r="N628" i="20"/>
  <c r="N627" i="20"/>
  <c r="N626" i="20"/>
  <c r="N625" i="20"/>
  <c r="N624" i="20"/>
  <c r="N623" i="20"/>
  <c r="N622" i="20"/>
  <c r="N621" i="20"/>
  <c r="N620" i="20"/>
  <c r="N619" i="20"/>
  <c r="N618" i="20"/>
  <c r="N617" i="20"/>
  <c r="N616" i="20"/>
  <c r="N615" i="20"/>
  <c r="N614" i="20"/>
  <c r="N613" i="20"/>
  <c r="N612" i="20"/>
  <c r="N611" i="20"/>
  <c r="N610" i="20"/>
  <c r="N609" i="20"/>
  <c r="N608" i="20"/>
  <c r="N607" i="20"/>
  <c r="N606" i="20"/>
  <c r="N605" i="20"/>
  <c r="N604" i="20"/>
  <c r="N603" i="20"/>
  <c r="N602" i="20"/>
  <c r="N601" i="20"/>
  <c r="N600" i="20"/>
  <c r="N599" i="20"/>
  <c r="N598" i="20"/>
  <c r="N597" i="20"/>
  <c r="N596" i="20"/>
  <c r="N595" i="20"/>
  <c r="N594" i="20"/>
  <c r="N593" i="20"/>
  <c r="N592" i="20"/>
  <c r="N591" i="20"/>
  <c r="N590" i="20"/>
  <c r="N589" i="20"/>
  <c r="N588" i="20"/>
  <c r="N587" i="20"/>
  <c r="N586" i="20"/>
  <c r="N585" i="20"/>
  <c r="N584" i="20"/>
  <c r="N583" i="20"/>
  <c r="N582" i="20"/>
  <c r="N581" i="20"/>
  <c r="N580" i="20"/>
  <c r="N579" i="20"/>
  <c r="N578" i="20"/>
  <c r="N577" i="20"/>
  <c r="N576" i="20"/>
  <c r="N575" i="20"/>
  <c r="N574" i="20"/>
  <c r="N573" i="20"/>
  <c r="N572" i="20"/>
  <c r="N571" i="20"/>
  <c r="N570" i="20"/>
  <c r="N569" i="20"/>
  <c r="N568" i="20"/>
  <c r="N567" i="20"/>
  <c r="N566" i="20"/>
  <c r="N565" i="20"/>
  <c r="N564" i="20"/>
  <c r="N563" i="20"/>
  <c r="N562" i="20"/>
  <c r="N561" i="20"/>
  <c r="N560" i="20"/>
  <c r="N559" i="20"/>
  <c r="N558" i="20"/>
  <c r="N557" i="20"/>
  <c r="N556" i="20"/>
  <c r="N555" i="20"/>
  <c r="N554" i="20"/>
  <c r="N553" i="20"/>
  <c r="N552" i="20"/>
  <c r="N551" i="20"/>
  <c r="N550" i="20"/>
  <c r="N549" i="20"/>
  <c r="N548" i="20"/>
  <c r="N547" i="20"/>
  <c r="N546" i="20"/>
  <c r="N545" i="20"/>
  <c r="N544" i="20"/>
  <c r="N543" i="20"/>
  <c r="N542" i="20"/>
  <c r="N541" i="20"/>
  <c r="N540" i="20"/>
  <c r="N539" i="20"/>
  <c r="N538" i="20"/>
  <c r="N537" i="20"/>
  <c r="N536" i="20"/>
  <c r="N535" i="20"/>
  <c r="N534" i="20"/>
  <c r="N533" i="20"/>
  <c r="N532" i="20"/>
  <c r="N531" i="20"/>
  <c r="N530" i="20"/>
  <c r="N529" i="20"/>
  <c r="N528" i="20"/>
  <c r="N527" i="20"/>
  <c r="N526" i="20"/>
  <c r="N525" i="20"/>
  <c r="N524" i="20"/>
  <c r="N523" i="20"/>
  <c r="N522" i="20"/>
  <c r="N521" i="20"/>
  <c r="N520" i="20"/>
  <c r="N519" i="20"/>
  <c r="N518" i="20"/>
  <c r="N517" i="20"/>
  <c r="N516" i="20"/>
  <c r="N515" i="20"/>
  <c r="N514" i="20"/>
  <c r="N513" i="20"/>
  <c r="N512" i="20"/>
  <c r="N511" i="20"/>
  <c r="N510" i="20"/>
  <c r="N509" i="20"/>
  <c r="N508" i="20"/>
  <c r="N507" i="20"/>
  <c r="N506" i="20"/>
  <c r="N505" i="20"/>
  <c r="N504" i="20"/>
  <c r="N503" i="20"/>
  <c r="N502" i="20"/>
  <c r="N501" i="20"/>
  <c r="N500" i="20"/>
  <c r="N499" i="20"/>
  <c r="N498" i="20"/>
  <c r="N497" i="20"/>
  <c r="N496" i="20"/>
  <c r="N495" i="20"/>
  <c r="N494" i="20"/>
  <c r="N493" i="20"/>
  <c r="N492" i="20"/>
  <c r="N491" i="20"/>
  <c r="N490" i="20"/>
  <c r="N489" i="20"/>
  <c r="N488" i="20"/>
  <c r="N487" i="20"/>
  <c r="N486" i="20"/>
  <c r="N485" i="20"/>
  <c r="N484" i="20"/>
  <c r="N483" i="20"/>
  <c r="N482" i="20"/>
  <c r="N481" i="20"/>
  <c r="N480" i="20"/>
  <c r="N479" i="20"/>
  <c r="N478" i="20"/>
  <c r="N477" i="20"/>
  <c r="N476" i="20"/>
  <c r="N475" i="20"/>
  <c r="N474" i="20"/>
  <c r="N473" i="20"/>
  <c r="N472" i="20"/>
  <c r="N471" i="20"/>
  <c r="N470" i="20"/>
  <c r="N469" i="20"/>
  <c r="N468" i="20"/>
  <c r="N467" i="20"/>
  <c r="N466" i="20"/>
  <c r="N465" i="20"/>
  <c r="N464" i="20"/>
  <c r="N463" i="20"/>
  <c r="N462" i="20"/>
  <c r="N461" i="20"/>
  <c r="N460" i="20"/>
  <c r="N459" i="20"/>
  <c r="N458" i="20"/>
  <c r="N457" i="20"/>
  <c r="N456" i="20"/>
  <c r="N455" i="20"/>
  <c r="N454" i="20"/>
  <c r="N453" i="20"/>
  <c r="N452" i="20"/>
  <c r="N451" i="20"/>
  <c r="N450" i="20"/>
  <c r="N449" i="20"/>
  <c r="N448" i="20"/>
  <c r="N447" i="20"/>
  <c r="N446" i="20"/>
  <c r="N445" i="20"/>
  <c r="N444" i="20"/>
  <c r="N443" i="20"/>
  <c r="N442" i="20"/>
  <c r="N441" i="20"/>
  <c r="N440" i="20"/>
  <c r="N439" i="20"/>
  <c r="N438" i="20"/>
  <c r="N437" i="20"/>
  <c r="N436" i="20"/>
  <c r="N435" i="20"/>
  <c r="N434" i="20"/>
  <c r="N433" i="20"/>
  <c r="N432" i="20"/>
  <c r="N431" i="20"/>
  <c r="N430" i="20"/>
  <c r="N429" i="20"/>
  <c r="N428" i="20"/>
  <c r="N427" i="20"/>
  <c r="N426" i="20"/>
  <c r="N425" i="20"/>
  <c r="N424" i="20"/>
  <c r="N423" i="20"/>
  <c r="N422" i="20"/>
  <c r="N421" i="20"/>
  <c r="N420" i="20"/>
  <c r="N419" i="20"/>
  <c r="N418" i="20"/>
  <c r="N417" i="20"/>
  <c r="N416" i="20"/>
  <c r="N415" i="20"/>
  <c r="N414" i="20"/>
  <c r="N413" i="20"/>
  <c r="N412" i="20"/>
  <c r="N411" i="20"/>
  <c r="N410" i="20"/>
  <c r="N409" i="20"/>
  <c r="N408" i="20"/>
  <c r="N407" i="20"/>
  <c r="N406" i="20"/>
  <c r="N405" i="20"/>
  <c r="N404" i="20"/>
  <c r="N403" i="20"/>
  <c r="N402" i="20"/>
  <c r="N401" i="20"/>
  <c r="N400" i="20"/>
  <c r="N399" i="20"/>
  <c r="N398" i="20"/>
  <c r="N397" i="20"/>
  <c r="N396" i="20"/>
  <c r="N395" i="20"/>
  <c r="N394" i="20"/>
  <c r="N393" i="20"/>
  <c r="N392" i="20"/>
  <c r="N391" i="20"/>
  <c r="N390" i="20"/>
  <c r="N389" i="20"/>
  <c r="N388" i="20"/>
  <c r="N387" i="20"/>
  <c r="N386" i="20"/>
  <c r="N385" i="20"/>
  <c r="N384" i="20"/>
  <c r="N383" i="20"/>
  <c r="N382" i="20"/>
  <c r="N381" i="20"/>
  <c r="N380" i="20"/>
  <c r="N379" i="20"/>
  <c r="N378" i="20"/>
  <c r="N377" i="20"/>
  <c r="N376" i="20"/>
  <c r="N375" i="20"/>
  <c r="N374" i="20"/>
  <c r="N373" i="20"/>
  <c r="N372" i="20"/>
  <c r="N371" i="20"/>
  <c r="N370" i="20"/>
  <c r="N369" i="20"/>
  <c r="N368" i="20"/>
  <c r="N367" i="20"/>
  <c r="N366" i="20"/>
  <c r="N365" i="20"/>
  <c r="N364" i="20"/>
  <c r="N363" i="20"/>
  <c r="N362" i="20"/>
  <c r="N361" i="20"/>
  <c r="N360" i="20"/>
  <c r="N359" i="20"/>
  <c r="N358" i="20"/>
  <c r="N357" i="20"/>
  <c r="N356" i="20"/>
  <c r="N355" i="20"/>
  <c r="N354" i="20"/>
  <c r="N353" i="20"/>
  <c r="N352" i="20"/>
  <c r="N351" i="20"/>
  <c r="N350" i="20"/>
  <c r="N349" i="20"/>
  <c r="N348" i="20"/>
  <c r="N347" i="20"/>
  <c r="N346" i="20"/>
  <c r="N345" i="20"/>
  <c r="N344" i="20"/>
  <c r="N343" i="20"/>
  <c r="N342" i="20"/>
  <c r="N341" i="20"/>
  <c r="N340" i="20"/>
  <c r="N339" i="20"/>
  <c r="N338" i="20"/>
  <c r="N337" i="20"/>
  <c r="N336" i="20"/>
  <c r="N335" i="20"/>
  <c r="N334" i="20"/>
  <c r="N333" i="20"/>
  <c r="N332" i="20"/>
  <c r="N331" i="20"/>
  <c r="N330" i="20"/>
  <c r="N329" i="20"/>
  <c r="N328" i="20"/>
  <c r="N327" i="20"/>
  <c r="N326" i="20"/>
  <c r="N325" i="20"/>
  <c r="N324" i="20"/>
  <c r="N323" i="20"/>
  <c r="N322" i="20"/>
  <c r="N321" i="20"/>
  <c r="N320" i="20"/>
  <c r="N319" i="20"/>
  <c r="N318" i="20"/>
  <c r="N317" i="20"/>
  <c r="N316" i="20"/>
  <c r="N315" i="20"/>
  <c r="N314" i="20"/>
  <c r="N313" i="20"/>
  <c r="N312" i="20"/>
  <c r="N311" i="20"/>
  <c r="N310" i="20"/>
  <c r="N309" i="20"/>
  <c r="N308" i="20"/>
  <c r="N307" i="20"/>
  <c r="N306" i="20"/>
  <c r="N305" i="20"/>
  <c r="N304" i="20"/>
  <c r="N303" i="20"/>
  <c r="N302" i="20"/>
  <c r="N301" i="20"/>
  <c r="N300" i="20"/>
  <c r="N299" i="20"/>
  <c r="N298" i="20"/>
  <c r="N297" i="20"/>
  <c r="N296" i="20"/>
  <c r="N295" i="20"/>
  <c r="N294" i="20"/>
  <c r="N293" i="20"/>
  <c r="N292" i="20"/>
  <c r="N291" i="20"/>
  <c r="N290" i="20"/>
  <c r="N289" i="20"/>
  <c r="N288" i="20"/>
  <c r="N287" i="20"/>
  <c r="N286" i="20"/>
  <c r="N285" i="20"/>
  <c r="N284" i="20"/>
  <c r="N283" i="20"/>
  <c r="N282" i="20"/>
  <c r="N281" i="20"/>
  <c r="N280" i="20"/>
  <c r="N279" i="20"/>
  <c r="N278" i="20"/>
  <c r="N277" i="20"/>
  <c r="N276" i="20"/>
  <c r="N275" i="20"/>
  <c r="N274" i="20"/>
  <c r="N273" i="20"/>
  <c r="N272" i="20"/>
  <c r="N271" i="20"/>
  <c r="N270" i="20"/>
  <c r="N269" i="20"/>
  <c r="N268" i="20"/>
  <c r="N267" i="20"/>
  <c r="N266" i="20"/>
  <c r="N265" i="20"/>
  <c r="N264" i="20"/>
  <c r="N263" i="20"/>
  <c r="N262" i="20"/>
  <c r="N261" i="20"/>
  <c r="N260" i="20"/>
  <c r="N259" i="20"/>
  <c r="N258" i="20"/>
  <c r="N257" i="20"/>
  <c r="N256" i="20"/>
  <c r="N255" i="20"/>
  <c r="N254" i="20"/>
  <c r="N253" i="20"/>
  <c r="N252" i="20"/>
  <c r="N251" i="20"/>
  <c r="N250" i="20"/>
  <c r="N249" i="20"/>
  <c r="N248" i="20"/>
  <c r="N247" i="20"/>
  <c r="N246" i="20"/>
  <c r="N245" i="20"/>
  <c r="N244" i="20"/>
  <c r="N243" i="20"/>
  <c r="N242" i="20"/>
  <c r="N241" i="20"/>
  <c r="N240" i="20"/>
  <c r="N239" i="20"/>
  <c r="N238" i="20"/>
  <c r="N237" i="20"/>
  <c r="N236" i="20"/>
  <c r="N235" i="20"/>
  <c r="N234" i="20"/>
  <c r="N233" i="20"/>
  <c r="N232" i="20"/>
  <c r="N231" i="20"/>
  <c r="N230" i="20"/>
  <c r="N229" i="20"/>
  <c r="N228" i="20"/>
  <c r="N227" i="20"/>
  <c r="N226" i="20"/>
  <c r="N225" i="20"/>
  <c r="N224" i="20"/>
  <c r="N223" i="20"/>
  <c r="N222" i="20"/>
  <c r="N221" i="20"/>
  <c r="N220" i="20"/>
  <c r="N219" i="20"/>
  <c r="N218" i="20"/>
  <c r="N217" i="20"/>
  <c r="N216" i="20"/>
  <c r="N215" i="20"/>
  <c r="N214" i="20"/>
  <c r="N213" i="20"/>
  <c r="N212" i="20"/>
  <c r="N211" i="20"/>
  <c r="N210" i="20"/>
  <c r="N209" i="20"/>
  <c r="N208" i="20"/>
  <c r="N207" i="20"/>
  <c r="N206" i="20"/>
  <c r="N205" i="20"/>
  <c r="N204" i="20"/>
  <c r="N203" i="20"/>
  <c r="N202" i="20"/>
  <c r="N201" i="20"/>
  <c r="N200" i="20"/>
  <c r="N199" i="20"/>
  <c r="N198" i="20"/>
  <c r="N197" i="20"/>
  <c r="N196" i="20"/>
  <c r="N195" i="20"/>
  <c r="N194" i="20"/>
  <c r="N193" i="20"/>
  <c r="N192" i="20"/>
  <c r="N191" i="20"/>
  <c r="N190" i="20"/>
  <c r="N189" i="20"/>
  <c r="N188" i="20"/>
  <c r="N187" i="20"/>
  <c r="N186" i="20"/>
  <c r="N185" i="20"/>
  <c r="N184" i="20"/>
  <c r="N183" i="20"/>
  <c r="N182" i="20"/>
  <c r="N181" i="20"/>
  <c r="N180" i="20"/>
  <c r="N179" i="20"/>
  <c r="N178" i="20"/>
  <c r="N177" i="20"/>
  <c r="N176" i="20"/>
  <c r="N175" i="20"/>
  <c r="N174" i="20"/>
  <c r="N173" i="20"/>
  <c r="N172" i="20"/>
  <c r="N171" i="20"/>
  <c r="N170" i="20"/>
  <c r="N169" i="20"/>
  <c r="N168" i="20"/>
  <c r="N167" i="20"/>
  <c r="N166" i="20"/>
  <c r="N165" i="20"/>
  <c r="N164" i="20"/>
  <c r="N163" i="20"/>
  <c r="N162" i="20"/>
  <c r="N161" i="20"/>
  <c r="N160" i="20"/>
  <c r="N159" i="20"/>
  <c r="N158" i="20"/>
  <c r="N157" i="20"/>
  <c r="N156" i="20"/>
  <c r="N155" i="20"/>
  <c r="N154" i="20"/>
  <c r="N153" i="20"/>
  <c r="N152" i="20"/>
  <c r="N151" i="20"/>
  <c r="N150" i="20"/>
  <c r="N149" i="20"/>
  <c r="N148" i="20"/>
  <c r="N147" i="20"/>
  <c r="N146" i="20"/>
  <c r="N145" i="20"/>
  <c r="N144" i="20"/>
  <c r="N143" i="20"/>
  <c r="N142" i="20"/>
  <c r="N141" i="20"/>
  <c r="N140" i="20"/>
  <c r="N139" i="20"/>
  <c r="N138" i="20"/>
  <c r="N137" i="20"/>
  <c r="N136" i="20"/>
  <c r="N135" i="20"/>
  <c r="N134" i="20"/>
  <c r="N133" i="20"/>
  <c r="N132" i="20"/>
  <c r="N131" i="20"/>
  <c r="N130" i="20"/>
  <c r="N129" i="20"/>
  <c r="N128" i="20"/>
  <c r="N127" i="20"/>
  <c r="N126" i="20"/>
  <c r="N125" i="20"/>
  <c r="N124" i="20"/>
  <c r="N123" i="20"/>
  <c r="N122" i="20"/>
  <c r="N121" i="20"/>
  <c r="N120" i="20"/>
  <c r="N119" i="20"/>
  <c r="N118" i="20"/>
  <c r="N117" i="20"/>
  <c r="N116" i="20"/>
  <c r="N115" i="20"/>
  <c r="N114" i="20"/>
  <c r="N113" i="20"/>
  <c r="N112" i="20"/>
  <c r="N111" i="20"/>
  <c r="N110" i="20"/>
  <c r="N109" i="20"/>
  <c r="N108" i="20"/>
  <c r="N107" i="20"/>
  <c r="N106" i="20"/>
  <c r="N105" i="20"/>
  <c r="N104" i="20"/>
  <c r="N103" i="20"/>
  <c r="N102" i="20"/>
  <c r="N101" i="20"/>
  <c r="N100" i="20"/>
  <c r="N99" i="20"/>
  <c r="N98" i="20"/>
  <c r="N97" i="20"/>
  <c r="N96" i="20"/>
  <c r="N95" i="20"/>
  <c r="N94" i="20"/>
  <c r="N93" i="20"/>
  <c r="N92" i="20"/>
  <c r="N91" i="20"/>
  <c r="N90" i="20"/>
  <c r="N89" i="20"/>
  <c r="N88" i="20"/>
  <c r="N87" i="20"/>
  <c r="N86" i="20"/>
  <c r="N85" i="20"/>
  <c r="N84" i="20"/>
  <c r="N83" i="20"/>
  <c r="N82" i="20"/>
  <c r="N81" i="20"/>
  <c r="N80" i="20"/>
  <c r="N79" i="20"/>
  <c r="N78" i="20"/>
  <c r="N77" i="20"/>
  <c r="N76" i="20"/>
  <c r="N75" i="20"/>
  <c r="N74" i="20"/>
  <c r="N73" i="20"/>
  <c r="N72" i="20"/>
  <c r="N71" i="20"/>
  <c r="N70" i="20"/>
  <c r="N69" i="20"/>
  <c r="N68" i="20"/>
  <c r="N67" i="20"/>
  <c r="N66" i="20"/>
  <c r="N65" i="20"/>
  <c r="N64" i="20"/>
  <c r="N63" i="20"/>
  <c r="N62" i="20"/>
  <c r="N61" i="20"/>
  <c r="N60" i="20"/>
  <c r="N59" i="20"/>
  <c r="N58" i="20"/>
  <c r="N57" i="20"/>
  <c r="N56" i="20"/>
  <c r="N55" i="20"/>
  <c r="N54" i="20"/>
  <c r="N53" i="20"/>
  <c r="N52" i="20"/>
  <c r="N51" i="20"/>
  <c r="N50" i="20"/>
  <c r="N49" i="20"/>
  <c r="N48" i="20"/>
  <c r="N47" i="20"/>
  <c r="N46" i="20"/>
  <c r="N45" i="20"/>
  <c r="N44" i="20"/>
  <c r="N43" i="20"/>
  <c r="N42" i="20"/>
  <c r="N41" i="20"/>
  <c r="N40" i="20"/>
  <c r="N39" i="20"/>
  <c r="N38" i="20"/>
  <c r="N37" i="20"/>
  <c r="N36" i="20"/>
  <c r="N35" i="20"/>
  <c r="N34" i="20"/>
  <c r="N33" i="20"/>
  <c r="N32" i="20"/>
  <c r="N31" i="20"/>
  <c r="N30" i="20"/>
  <c r="N29" i="20"/>
  <c r="N28" i="20"/>
  <c r="N27" i="20"/>
  <c r="N26" i="20"/>
  <c r="N25" i="20"/>
  <c r="N24" i="20"/>
  <c r="N23" i="20"/>
  <c r="N22" i="20"/>
  <c r="N21" i="20"/>
  <c r="N20" i="20"/>
  <c r="N19" i="20"/>
  <c r="N18" i="20"/>
  <c r="N17" i="20"/>
  <c r="N16" i="20"/>
  <c r="N15" i="20"/>
  <c r="N14" i="20"/>
  <c r="N13" i="20"/>
  <c r="N12" i="20"/>
  <c r="N11" i="20"/>
  <c r="N10" i="20"/>
  <c r="N9" i="20"/>
  <c r="N8" i="20"/>
  <c r="N7" i="20"/>
  <c r="N6" i="20"/>
  <c r="N5" i="20"/>
  <c r="N4" i="20"/>
  <c r="N3" i="20"/>
  <c r="N2" i="20"/>
  <c r="N792" i="24"/>
  <c r="N791" i="24"/>
  <c r="N790" i="24"/>
  <c r="N789" i="24"/>
  <c r="N788" i="24"/>
  <c r="N787" i="24"/>
  <c r="N786" i="24"/>
  <c r="N785" i="24"/>
  <c r="N784" i="24"/>
  <c r="N783" i="24"/>
  <c r="N782" i="24"/>
  <c r="N781" i="24"/>
  <c r="N780" i="24"/>
  <c r="N779" i="24"/>
  <c r="N778" i="24"/>
  <c r="N777" i="24"/>
  <c r="N776" i="24"/>
  <c r="N775" i="24"/>
  <c r="N774" i="24"/>
  <c r="N773" i="24"/>
  <c r="N772" i="24"/>
  <c r="N771" i="24"/>
  <c r="N770" i="24"/>
  <c r="N769" i="24"/>
  <c r="N768" i="24"/>
  <c r="N767" i="24"/>
  <c r="N766" i="24"/>
  <c r="N765" i="24"/>
  <c r="N764" i="24"/>
  <c r="N763" i="24"/>
  <c r="N762" i="24"/>
  <c r="N761" i="24"/>
  <c r="N760" i="24"/>
  <c r="N759" i="24"/>
  <c r="N758" i="24"/>
  <c r="N757" i="24"/>
  <c r="N756" i="24"/>
  <c r="N755" i="24"/>
  <c r="N754" i="24"/>
  <c r="N753" i="24"/>
  <c r="N752" i="24"/>
  <c r="N751" i="24"/>
  <c r="N750" i="24"/>
  <c r="N749" i="24"/>
  <c r="N748" i="24"/>
  <c r="N747" i="24"/>
  <c r="N746" i="24"/>
  <c r="N745" i="24"/>
  <c r="N744" i="24"/>
  <c r="N743" i="24"/>
  <c r="N742" i="24"/>
  <c r="N741" i="24"/>
  <c r="N740" i="24"/>
  <c r="N739" i="24"/>
  <c r="N738" i="24"/>
  <c r="N737" i="24"/>
  <c r="N736" i="24"/>
  <c r="N735" i="24"/>
  <c r="N734" i="24"/>
  <c r="N733" i="24"/>
  <c r="N732" i="24"/>
  <c r="N731" i="24"/>
  <c r="N730" i="24"/>
  <c r="N729" i="24"/>
  <c r="N728" i="24"/>
  <c r="N727" i="24"/>
  <c r="N726" i="24"/>
  <c r="N725" i="24"/>
  <c r="N724" i="24"/>
  <c r="N723" i="24"/>
  <c r="N722" i="24"/>
  <c r="N721" i="24"/>
  <c r="N720" i="24"/>
  <c r="N719" i="24"/>
  <c r="N718" i="24"/>
  <c r="N717" i="24"/>
  <c r="N716" i="24"/>
  <c r="N715" i="24"/>
  <c r="N714" i="24"/>
  <c r="N713" i="24"/>
  <c r="N712" i="24"/>
  <c r="N711" i="24"/>
  <c r="N710" i="24"/>
  <c r="N709" i="24"/>
  <c r="N708" i="24"/>
  <c r="N707" i="24"/>
  <c r="N706" i="24"/>
  <c r="N705" i="24"/>
  <c r="N704" i="24"/>
  <c r="N703" i="24"/>
  <c r="N702" i="24"/>
  <c r="N701" i="24"/>
  <c r="N700" i="24"/>
  <c r="N699" i="24"/>
  <c r="N698" i="24"/>
  <c r="N697" i="24"/>
  <c r="N696" i="24"/>
  <c r="N695" i="24"/>
  <c r="N694" i="24"/>
  <c r="N693" i="24"/>
  <c r="N692" i="24"/>
  <c r="N691" i="24"/>
  <c r="N690" i="24"/>
  <c r="N689" i="24"/>
  <c r="N688" i="24"/>
  <c r="N687" i="24"/>
  <c r="N686" i="24"/>
  <c r="N685" i="24"/>
  <c r="N684" i="24"/>
  <c r="N683" i="24"/>
  <c r="N682" i="24"/>
  <c r="N681" i="24"/>
  <c r="N680" i="24"/>
  <c r="N679" i="24"/>
  <c r="N678" i="24"/>
  <c r="N677" i="24"/>
  <c r="N676" i="24"/>
  <c r="N675" i="24"/>
  <c r="N674" i="24"/>
  <c r="N673" i="24"/>
  <c r="N672" i="24"/>
  <c r="N671" i="24"/>
  <c r="N670" i="24"/>
  <c r="N669" i="24"/>
  <c r="N668" i="24"/>
  <c r="N667" i="24"/>
  <c r="N666" i="24"/>
  <c r="N665" i="24"/>
  <c r="N664" i="24"/>
  <c r="N663" i="24"/>
  <c r="N662" i="24"/>
  <c r="N661" i="24"/>
  <c r="N660" i="24"/>
  <c r="N659" i="24"/>
  <c r="N658" i="24"/>
  <c r="N657" i="24"/>
  <c r="N656" i="24"/>
  <c r="N655" i="24"/>
  <c r="N654" i="24"/>
  <c r="N653" i="24"/>
  <c r="N652" i="24"/>
  <c r="N651" i="24"/>
  <c r="N650" i="24"/>
  <c r="N649" i="24"/>
  <c r="N648" i="24"/>
  <c r="N647" i="24"/>
  <c r="N646" i="24"/>
  <c r="N645" i="24"/>
  <c r="N644" i="24"/>
  <c r="N643" i="24"/>
  <c r="N642" i="24"/>
  <c r="N641" i="24"/>
  <c r="N640" i="24"/>
  <c r="N639" i="24"/>
  <c r="N638" i="24"/>
  <c r="N637" i="24"/>
  <c r="N636" i="24"/>
  <c r="N635" i="24"/>
  <c r="N634" i="24"/>
  <c r="N633" i="24"/>
  <c r="N632" i="24"/>
  <c r="N631" i="24"/>
  <c r="N630" i="24"/>
  <c r="N629" i="24"/>
  <c r="N628" i="24"/>
  <c r="N627" i="24"/>
  <c r="N626" i="24"/>
  <c r="N625" i="24"/>
  <c r="N624" i="24"/>
  <c r="N623" i="24"/>
  <c r="N622" i="24"/>
  <c r="N621" i="24"/>
  <c r="N620" i="24"/>
  <c r="N619" i="24"/>
  <c r="N618" i="24"/>
  <c r="N617" i="24"/>
  <c r="N616" i="24"/>
  <c r="N615" i="24"/>
  <c r="N614" i="24"/>
  <c r="N613" i="24"/>
  <c r="N612" i="24"/>
  <c r="N611" i="24"/>
  <c r="N610" i="24"/>
  <c r="N609" i="24"/>
  <c r="N608" i="24"/>
  <c r="N607" i="24"/>
  <c r="N606" i="24"/>
  <c r="N605" i="24"/>
  <c r="N604" i="24"/>
  <c r="N603" i="24"/>
  <c r="N602" i="24"/>
  <c r="N601" i="24"/>
  <c r="N600" i="24"/>
  <c r="N599" i="24"/>
  <c r="N598" i="24"/>
  <c r="N597" i="24"/>
  <c r="N596" i="24"/>
  <c r="N595" i="24"/>
  <c r="N594" i="24"/>
  <c r="N593" i="24"/>
  <c r="N592" i="24"/>
  <c r="N591" i="24"/>
  <c r="N590" i="24"/>
  <c r="N589" i="24"/>
  <c r="N588" i="24"/>
  <c r="N587" i="24"/>
  <c r="N586" i="24"/>
  <c r="N585" i="24"/>
  <c r="N584" i="24"/>
  <c r="N583" i="24"/>
  <c r="N582" i="24"/>
  <c r="N581" i="24"/>
  <c r="N580" i="24"/>
  <c r="N579" i="24"/>
  <c r="N578" i="24"/>
  <c r="N577" i="24"/>
  <c r="N576" i="24"/>
  <c r="N575" i="24"/>
  <c r="N574" i="24"/>
  <c r="N573" i="24"/>
  <c r="N572" i="24"/>
  <c r="N571" i="24"/>
  <c r="N570" i="24"/>
  <c r="N569" i="24"/>
  <c r="N568" i="24"/>
  <c r="N567" i="24"/>
  <c r="N566" i="24"/>
  <c r="N565" i="24"/>
  <c r="N564" i="24"/>
  <c r="N563" i="24"/>
  <c r="N562" i="24"/>
  <c r="N561" i="24"/>
  <c r="N560" i="24"/>
  <c r="N559" i="24"/>
  <c r="N558" i="24"/>
  <c r="N557" i="24"/>
  <c r="N556" i="24"/>
  <c r="N555" i="24"/>
  <c r="N554" i="24"/>
  <c r="N553" i="24"/>
  <c r="N552" i="24"/>
  <c r="N551" i="24"/>
  <c r="N550" i="24"/>
  <c r="N549" i="24"/>
  <c r="N548" i="24"/>
  <c r="N547" i="24"/>
  <c r="N546" i="24"/>
  <c r="N545" i="24"/>
  <c r="N544" i="24"/>
  <c r="N543" i="24"/>
  <c r="N542" i="24"/>
  <c r="N541" i="24"/>
  <c r="N540" i="24"/>
  <c r="N539" i="24"/>
  <c r="N538" i="24"/>
  <c r="N537" i="24"/>
  <c r="N536" i="24"/>
  <c r="N535" i="24"/>
  <c r="N534" i="24"/>
  <c r="N533" i="24"/>
  <c r="N532" i="24"/>
  <c r="N531" i="24"/>
  <c r="N530" i="24"/>
  <c r="N529" i="24"/>
  <c r="N528" i="24"/>
  <c r="N527" i="24"/>
  <c r="N526" i="24"/>
  <c r="N525" i="24"/>
  <c r="N524" i="24"/>
  <c r="N523" i="24"/>
  <c r="N522" i="24"/>
  <c r="N521" i="24"/>
  <c r="N520" i="24"/>
  <c r="N519" i="24"/>
  <c r="N518" i="24"/>
  <c r="N517" i="24"/>
  <c r="N516" i="24"/>
  <c r="N515" i="24"/>
  <c r="N514" i="24"/>
  <c r="N513" i="24"/>
  <c r="N512" i="24"/>
  <c r="N511" i="24"/>
  <c r="N510" i="24"/>
  <c r="N509" i="24"/>
  <c r="N508" i="24"/>
  <c r="N507" i="24"/>
  <c r="N506" i="24"/>
  <c r="N505" i="24"/>
  <c r="N504" i="24"/>
  <c r="N503" i="24"/>
  <c r="N502" i="24"/>
  <c r="N501" i="24"/>
  <c r="N500" i="24"/>
  <c r="N499" i="24"/>
  <c r="N498" i="24"/>
  <c r="N497" i="24"/>
  <c r="N496" i="24"/>
  <c r="N495" i="24"/>
  <c r="N494" i="24"/>
  <c r="N493" i="24"/>
  <c r="N492" i="24"/>
  <c r="N491" i="24"/>
  <c r="N490" i="24"/>
  <c r="N489" i="24"/>
  <c r="N488" i="24"/>
  <c r="N487" i="24"/>
  <c r="N486" i="24"/>
  <c r="N485" i="24"/>
  <c r="N484" i="24"/>
  <c r="N483" i="24"/>
  <c r="N482" i="24"/>
  <c r="N481" i="24"/>
  <c r="N480" i="24"/>
  <c r="N479" i="24"/>
  <c r="N478" i="24"/>
  <c r="N477" i="24"/>
  <c r="N476" i="24"/>
  <c r="N475" i="24"/>
  <c r="N474" i="24"/>
  <c r="N473" i="24"/>
  <c r="N472" i="24"/>
  <c r="N471" i="24"/>
  <c r="N470" i="24"/>
  <c r="N469" i="24"/>
  <c r="N468" i="24"/>
  <c r="N467" i="24"/>
  <c r="N466" i="24"/>
  <c r="N465" i="24"/>
  <c r="N464" i="24"/>
  <c r="N463" i="24"/>
  <c r="N462" i="24"/>
  <c r="N461" i="24"/>
  <c r="N460" i="24"/>
  <c r="N459" i="24"/>
  <c r="N458" i="24"/>
  <c r="N457" i="24"/>
  <c r="N456" i="24"/>
  <c r="N455" i="24"/>
  <c r="N454" i="24"/>
  <c r="N453" i="24"/>
  <c r="N452" i="24"/>
  <c r="N451" i="24"/>
  <c r="N450" i="24"/>
  <c r="N449" i="24"/>
  <c r="N448" i="24"/>
  <c r="N447" i="24"/>
  <c r="N446" i="24"/>
  <c r="N445" i="24"/>
  <c r="N444" i="24"/>
  <c r="N443" i="24"/>
  <c r="N442" i="24"/>
  <c r="N441" i="24"/>
  <c r="N440" i="24"/>
  <c r="N439" i="24"/>
  <c r="N438" i="24"/>
  <c r="N437" i="24"/>
  <c r="N436" i="24"/>
  <c r="N435" i="24"/>
  <c r="N434" i="24"/>
  <c r="N433" i="24"/>
  <c r="N432" i="24"/>
  <c r="N431" i="24"/>
  <c r="N430" i="24"/>
  <c r="N429" i="24"/>
  <c r="N428" i="24"/>
  <c r="N427" i="24"/>
  <c r="N426" i="24"/>
  <c r="N425" i="24"/>
  <c r="N424" i="24"/>
  <c r="N423" i="24"/>
  <c r="N422" i="24"/>
  <c r="N421" i="24"/>
  <c r="N420" i="24"/>
  <c r="N419" i="24"/>
  <c r="N418" i="24"/>
  <c r="N417" i="24"/>
  <c r="N416" i="24"/>
  <c r="N415" i="24"/>
  <c r="N414" i="24"/>
  <c r="N413" i="24"/>
  <c r="N412" i="24"/>
  <c r="N411" i="24"/>
  <c r="N410" i="24"/>
  <c r="N409" i="24"/>
  <c r="N408" i="24"/>
  <c r="N407" i="24"/>
  <c r="N406" i="24"/>
  <c r="N405" i="24"/>
  <c r="N404" i="24"/>
  <c r="N403" i="24"/>
  <c r="N402" i="24"/>
  <c r="N401" i="24"/>
  <c r="N400" i="24"/>
  <c r="N399" i="24"/>
  <c r="N398" i="24"/>
  <c r="N397" i="24"/>
  <c r="N396" i="24"/>
  <c r="N395" i="24"/>
  <c r="N394" i="24"/>
  <c r="N393" i="24"/>
  <c r="N392" i="24"/>
  <c r="N391" i="24"/>
  <c r="N390" i="24"/>
  <c r="N389" i="24"/>
  <c r="N388" i="24"/>
  <c r="N387" i="24"/>
  <c r="N386" i="24"/>
  <c r="N385" i="24"/>
  <c r="N384" i="24"/>
  <c r="N383" i="24"/>
  <c r="N382" i="24"/>
  <c r="N381" i="24"/>
  <c r="N380" i="24"/>
  <c r="N379" i="24"/>
  <c r="N378" i="24"/>
  <c r="N377" i="24"/>
  <c r="N376" i="24"/>
  <c r="N375" i="24"/>
  <c r="N374" i="24"/>
  <c r="N373" i="24"/>
  <c r="N372" i="24"/>
  <c r="N371" i="24"/>
  <c r="N370" i="24"/>
  <c r="N369" i="24"/>
  <c r="N368" i="24"/>
  <c r="N367" i="24"/>
  <c r="N366" i="24"/>
  <c r="N365" i="24"/>
  <c r="N364" i="24"/>
  <c r="N363" i="24"/>
  <c r="N362" i="24"/>
  <c r="N361" i="24"/>
  <c r="N360" i="24"/>
  <c r="N359" i="24"/>
  <c r="N358" i="24"/>
  <c r="N357" i="24"/>
  <c r="N356" i="24"/>
  <c r="N355" i="24"/>
  <c r="N354" i="24"/>
  <c r="N353" i="24"/>
  <c r="N352" i="24"/>
  <c r="N351" i="24"/>
  <c r="N350" i="24"/>
  <c r="N349" i="24"/>
  <c r="N348" i="24"/>
  <c r="N347" i="24"/>
  <c r="N346" i="24"/>
  <c r="N345" i="24"/>
  <c r="N344" i="24"/>
  <c r="N343" i="24"/>
  <c r="N342" i="24"/>
  <c r="N341" i="24"/>
  <c r="N340" i="24"/>
  <c r="N339" i="24"/>
  <c r="N338" i="24"/>
  <c r="N337" i="24"/>
  <c r="N336" i="24"/>
  <c r="N335" i="24"/>
  <c r="N334" i="24"/>
  <c r="N333" i="24"/>
  <c r="N332" i="24"/>
  <c r="N331" i="24"/>
  <c r="N330" i="24"/>
  <c r="N329" i="24"/>
  <c r="N328" i="24"/>
  <c r="N327" i="24"/>
  <c r="N326" i="24"/>
  <c r="N325" i="24"/>
  <c r="N324" i="24"/>
  <c r="N323" i="24"/>
  <c r="N322" i="24"/>
  <c r="N321" i="24"/>
  <c r="N320" i="24"/>
  <c r="N319" i="24"/>
  <c r="N318" i="24"/>
  <c r="N317" i="24"/>
  <c r="N316" i="24"/>
  <c r="N315" i="24"/>
  <c r="N314" i="24"/>
  <c r="N313" i="24"/>
  <c r="N312" i="24"/>
  <c r="N311" i="24"/>
  <c r="N310" i="24"/>
  <c r="N309" i="24"/>
  <c r="N308" i="24"/>
  <c r="N307" i="24"/>
  <c r="N306" i="24"/>
  <c r="N305" i="24"/>
  <c r="N304" i="24"/>
  <c r="N303" i="24"/>
  <c r="N302" i="24"/>
  <c r="N301" i="24"/>
  <c r="N300" i="24"/>
  <c r="N299" i="24"/>
  <c r="N298" i="24"/>
  <c r="N297" i="24"/>
  <c r="N296" i="24"/>
  <c r="N295" i="24"/>
  <c r="N294" i="24"/>
  <c r="N293" i="24"/>
  <c r="N292" i="24"/>
  <c r="N291" i="24"/>
  <c r="N290" i="24"/>
  <c r="N289" i="24"/>
  <c r="N288" i="24"/>
  <c r="N287" i="24"/>
  <c r="N286" i="24"/>
  <c r="N285" i="24"/>
  <c r="N284" i="24"/>
  <c r="N283" i="24"/>
  <c r="N282" i="24"/>
  <c r="N281" i="24"/>
  <c r="N280" i="24"/>
  <c r="N279" i="24"/>
  <c r="N278" i="24"/>
  <c r="N277" i="24"/>
  <c r="N276" i="24"/>
  <c r="N275" i="24"/>
  <c r="N274" i="24"/>
  <c r="N273" i="24"/>
  <c r="N272" i="24"/>
  <c r="N271" i="24"/>
  <c r="N270" i="24"/>
  <c r="N269" i="24"/>
  <c r="N268" i="24"/>
  <c r="N267" i="24"/>
  <c r="N266" i="24"/>
  <c r="N265" i="24"/>
  <c r="N264" i="24"/>
  <c r="N263" i="24"/>
  <c r="N262" i="24"/>
  <c r="N261" i="24"/>
  <c r="N260" i="24"/>
  <c r="N259" i="24"/>
  <c r="N258" i="24"/>
  <c r="N257" i="24"/>
  <c r="N256" i="24"/>
  <c r="N255" i="24"/>
  <c r="N254" i="24"/>
  <c r="N253" i="24"/>
  <c r="N252" i="24"/>
  <c r="N251" i="24"/>
  <c r="N250" i="24"/>
  <c r="N249" i="24"/>
  <c r="N248" i="24"/>
  <c r="N247" i="24"/>
  <c r="N246" i="24"/>
  <c r="N245" i="24"/>
  <c r="N244" i="24"/>
  <c r="N243" i="24"/>
  <c r="N242" i="24"/>
  <c r="N241" i="24"/>
  <c r="N240" i="24"/>
  <c r="N239" i="24"/>
  <c r="N238" i="24"/>
  <c r="N237" i="24"/>
  <c r="N236" i="24"/>
  <c r="N235" i="24"/>
  <c r="N234" i="24"/>
  <c r="N233" i="24"/>
  <c r="N232" i="24"/>
  <c r="N231" i="24"/>
  <c r="N230" i="24"/>
  <c r="N229" i="24"/>
  <c r="N228" i="24"/>
  <c r="N227" i="24"/>
  <c r="N226" i="24"/>
  <c r="N225" i="24"/>
  <c r="N224" i="24"/>
  <c r="N223" i="24"/>
  <c r="N222" i="24"/>
  <c r="N221" i="24"/>
  <c r="N220" i="24"/>
  <c r="N219" i="24"/>
  <c r="N218" i="24"/>
  <c r="N217" i="24"/>
  <c r="N216" i="24"/>
  <c r="N215" i="24"/>
  <c r="N214" i="24"/>
  <c r="N213" i="24"/>
  <c r="N212" i="24"/>
  <c r="N211" i="24"/>
  <c r="N210" i="24"/>
  <c r="N209" i="24"/>
  <c r="N208" i="24"/>
  <c r="N207" i="24"/>
  <c r="N206" i="24"/>
  <c r="N205" i="24"/>
  <c r="N204" i="24"/>
  <c r="N203" i="24"/>
  <c r="N202" i="24"/>
  <c r="N201" i="24"/>
  <c r="N200" i="24"/>
  <c r="N199" i="24"/>
  <c r="N198" i="24"/>
  <c r="N197" i="24"/>
  <c r="N196" i="24"/>
  <c r="N195" i="24"/>
  <c r="N194" i="24"/>
  <c r="N193" i="24"/>
  <c r="N192" i="24"/>
  <c r="N191" i="24"/>
  <c r="N190" i="24"/>
  <c r="N189" i="24"/>
  <c r="N188" i="24"/>
  <c r="N187" i="24"/>
  <c r="N186" i="24"/>
  <c r="N185" i="24"/>
  <c r="N184" i="24"/>
  <c r="N183" i="24"/>
  <c r="N182" i="24"/>
  <c r="N181" i="24"/>
  <c r="N180" i="24"/>
  <c r="N179" i="24"/>
  <c r="N178" i="24"/>
  <c r="N177" i="24"/>
  <c r="N176" i="24"/>
  <c r="N175" i="24"/>
  <c r="N174" i="24"/>
  <c r="N173" i="24"/>
  <c r="N172" i="24"/>
  <c r="N171" i="24"/>
  <c r="N170" i="24"/>
  <c r="N169" i="24"/>
  <c r="N168" i="24"/>
  <c r="N167" i="24"/>
  <c r="N166" i="24"/>
  <c r="N165" i="24"/>
  <c r="N164" i="24"/>
  <c r="N163" i="24"/>
  <c r="N162" i="24"/>
  <c r="N161" i="24"/>
  <c r="N160" i="24"/>
  <c r="N159" i="24"/>
  <c r="N158" i="24"/>
  <c r="N157" i="24"/>
  <c r="N156" i="24"/>
  <c r="N155" i="24"/>
  <c r="N154" i="24"/>
  <c r="N153" i="24"/>
  <c r="N152" i="24"/>
  <c r="N151" i="24"/>
  <c r="N150" i="24"/>
  <c r="N149" i="24"/>
  <c r="N148" i="24"/>
  <c r="N147" i="24"/>
  <c r="N146" i="24"/>
  <c r="N145" i="24"/>
  <c r="N144" i="24"/>
  <c r="N143" i="24"/>
  <c r="N142" i="24"/>
  <c r="N141" i="24"/>
  <c r="N140" i="24"/>
  <c r="N139" i="24"/>
  <c r="N138" i="24"/>
  <c r="N137" i="24"/>
  <c r="N136" i="24"/>
  <c r="N135" i="24"/>
  <c r="N134" i="24"/>
  <c r="N133" i="24"/>
  <c r="N132" i="24"/>
  <c r="N131" i="24"/>
  <c r="N130" i="24"/>
  <c r="N129" i="24"/>
  <c r="N128" i="24"/>
  <c r="N127" i="24"/>
  <c r="N126" i="24"/>
  <c r="N125" i="24"/>
  <c r="N124" i="24"/>
  <c r="N123" i="24"/>
  <c r="N122" i="24"/>
  <c r="N121" i="24"/>
  <c r="N120" i="24"/>
  <c r="N119" i="24"/>
  <c r="N118" i="24"/>
  <c r="N117" i="24"/>
  <c r="N116" i="24"/>
  <c r="N115" i="24"/>
  <c r="N114" i="24"/>
  <c r="N113" i="24"/>
  <c r="N112" i="24"/>
  <c r="N111" i="24"/>
  <c r="N110" i="24"/>
  <c r="N109" i="24"/>
  <c r="N108" i="24"/>
  <c r="N107" i="24"/>
  <c r="N106" i="24"/>
  <c r="N105" i="24"/>
  <c r="N104" i="24"/>
  <c r="N103" i="24"/>
  <c r="N102" i="24"/>
  <c r="N101" i="24"/>
  <c r="N100" i="24"/>
  <c r="N99" i="24"/>
  <c r="N98" i="24"/>
  <c r="N97" i="24"/>
  <c r="N96" i="24"/>
  <c r="N95" i="24"/>
  <c r="N94" i="24"/>
  <c r="N93" i="24"/>
  <c r="N92" i="24"/>
  <c r="N91" i="24"/>
  <c r="N90" i="24"/>
  <c r="N89" i="24"/>
  <c r="N88" i="24"/>
  <c r="N87" i="24"/>
  <c r="N86" i="24"/>
  <c r="N85" i="24"/>
  <c r="N84" i="24"/>
  <c r="N83" i="24"/>
  <c r="N82" i="24"/>
  <c r="N81" i="24"/>
  <c r="N80" i="24"/>
  <c r="N79" i="24"/>
  <c r="N78" i="24"/>
  <c r="N77" i="24"/>
  <c r="N76" i="24"/>
  <c r="N75" i="24"/>
  <c r="N74" i="24"/>
  <c r="N73" i="24"/>
  <c r="N72" i="24"/>
  <c r="N71" i="24"/>
  <c r="N70" i="24"/>
  <c r="N69" i="24"/>
  <c r="N68" i="24"/>
  <c r="N67" i="24"/>
  <c r="N66" i="24"/>
  <c r="N65" i="24"/>
  <c r="N64" i="24"/>
  <c r="N63" i="24"/>
  <c r="N62" i="24"/>
  <c r="N61" i="24"/>
  <c r="N60" i="24"/>
  <c r="N59" i="24"/>
  <c r="N58" i="24"/>
  <c r="N57" i="24"/>
  <c r="N56" i="24"/>
  <c r="N55" i="24"/>
  <c r="N54" i="24"/>
  <c r="N53" i="24"/>
  <c r="N52" i="24"/>
  <c r="N51" i="24"/>
  <c r="N50" i="24"/>
  <c r="N49" i="24"/>
  <c r="N48" i="24"/>
  <c r="N47" i="24"/>
  <c r="N46" i="24"/>
  <c r="N45" i="24"/>
  <c r="N44" i="24"/>
  <c r="N43" i="24"/>
  <c r="N42" i="24"/>
  <c r="N41" i="24"/>
  <c r="N40" i="24"/>
  <c r="N39" i="24"/>
  <c r="N38" i="24"/>
  <c r="N37" i="24"/>
  <c r="N36" i="24"/>
  <c r="N35" i="24"/>
  <c r="N34" i="24"/>
  <c r="N33" i="24"/>
  <c r="N32" i="24"/>
  <c r="N31" i="24"/>
  <c r="N30" i="24"/>
  <c r="N29" i="24"/>
  <c r="N28" i="24"/>
  <c r="N27" i="24"/>
  <c r="N26" i="24"/>
  <c r="N25" i="24"/>
  <c r="N24" i="24"/>
  <c r="N23" i="24"/>
  <c r="N22" i="24"/>
  <c r="N21" i="24"/>
  <c r="N20" i="24"/>
  <c r="N19" i="24"/>
  <c r="N18" i="24"/>
  <c r="N17" i="24"/>
  <c r="N16" i="24"/>
  <c r="N15" i="24"/>
  <c r="N14" i="24"/>
  <c r="N13" i="24"/>
  <c r="N12" i="24"/>
  <c r="N11" i="24"/>
  <c r="N10" i="24"/>
  <c r="N9" i="24"/>
  <c r="N8" i="24"/>
  <c r="N7" i="24"/>
  <c r="N6" i="24"/>
  <c r="N5" i="24"/>
  <c r="N4" i="24"/>
  <c r="N3" i="24"/>
  <c r="N2" i="24"/>
  <c r="P792" i="24"/>
  <c r="P791" i="24"/>
  <c r="P790" i="24"/>
  <c r="P789" i="24"/>
  <c r="P788" i="24"/>
  <c r="P787" i="24"/>
  <c r="P786" i="24"/>
  <c r="P785" i="24"/>
  <c r="P784" i="24"/>
  <c r="P783" i="24"/>
  <c r="P782" i="24"/>
  <c r="P781" i="24"/>
  <c r="P780" i="24"/>
  <c r="P779" i="24"/>
  <c r="P778" i="24"/>
  <c r="P777" i="24"/>
  <c r="P776" i="24"/>
  <c r="P775" i="24"/>
  <c r="P774" i="24"/>
  <c r="P773" i="24"/>
  <c r="P772" i="24"/>
  <c r="P771" i="24"/>
  <c r="P770" i="24"/>
  <c r="P769" i="24"/>
  <c r="P768" i="24"/>
  <c r="P767" i="24"/>
  <c r="P766" i="24"/>
  <c r="P765" i="24"/>
  <c r="P764" i="24"/>
  <c r="P763" i="24"/>
  <c r="P762" i="24"/>
  <c r="P761" i="24"/>
  <c r="P760" i="24"/>
  <c r="P759" i="24"/>
  <c r="P758" i="24"/>
  <c r="P757" i="24"/>
  <c r="P756" i="24"/>
  <c r="P755" i="24"/>
  <c r="P754" i="24"/>
  <c r="P753" i="24"/>
  <c r="P752" i="24"/>
  <c r="P751" i="24"/>
  <c r="P750" i="24"/>
  <c r="P749" i="24"/>
  <c r="P748" i="24"/>
  <c r="P747" i="24"/>
  <c r="P746" i="24"/>
  <c r="P745" i="24"/>
  <c r="P744" i="24"/>
  <c r="P743" i="24"/>
  <c r="P742" i="24"/>
  <c r="P741" i="24"/>
  <c r="P740" i="24"/>
  <c r="P739" i="24"/>
  <c r="P738" i="24"/>
  <c r="P737" i="24"/>
  <c r="P736" i="24"/>
  <c r="P735" i="24"/>
  <c r="P734" i="24"/>
  <c r="P733" i="24"/>
  <c r="P732" i="24"/>
  <c r="P731" i="24"/>
  <c r="P730" i="24"/>
  <c r="P729" i="24"/>
  <c r="P728" i="24"/>
  <c r="P727" i="24"/>
  <c r="P726" i="24"/>
  <c r="P725" i="24"/>
  <c r="P724" i="24"/>
  <c r="P723" i="24"/>
  <c r="P722" i="24"/>
  <c r="P721" i="24"/>
  <c r="P720" i="24"/>
  <c r="P719" i="24"/>
  <c r="P718" i="24"/>
  <c r="P717" i="24"/>
  <c r="P716" i="24"/>
  <c r="P715" i="24"/>
  <c r="P714" i="24"/>
  <c r="P713" i="24"/>
  <c r="P712" i="24"/>
  <c r="P711" i="24"/>
  <c r="P710" i="24"/>
  <c r="P709" i="24"/>
  <c r="P708" i="24"/>
  <c r="P707" i="24"/>
  <c r="P706" i="24"/>
  <c r="P705" i="24"/>
  <c r="P704" i="24"/>
  <c r="P703" i="24"/>
  <c r="P702" i="24"/>
  <c r="P701" i="24"/>
  <c r="P700" i="24"/>
  <c r="P699" i="24"/>
  <c r="P698" i="24"/>
  <c r="P697" i="24"/>
  <c r="P696" i="24"/>
  <c r="P695" i="24"/>
  <c r="P694" i="24"/>
  <c r="P693" i="24"/>
  <c r="P692" i="24"/>
  <c r="P691" i="24"/>
  <c r="P690" i="24"/>
  <c r="P689" i="24"/>
  <c r="P688" i="24"/>
  <c r="P687" i="24"/>
  <c r="P686" i="24"/>
  <c r="P685" i="24"/>
  <c r="P684" i="24"/>
  <c r="P683" i="24"/>
  <c r="P682" i="24"/>
  <c r="P681" i="24"/>
  <c r="P680" i="24"/>
  <c r="P679" i="24"/>
  <c r="P678" i="24"/>
  <c r="P677" i="24"/>
  <c r="P676" i="24"/>
  <c r="P675" i="24"/>
  <c r="P674" i="24"/>
  <c r="P673" i="24"/>
  <c r="P672" i="24"/>
  <c r="P671" i="24"/>
  <c r="P670" i="24"/>
  <c r="P669" i="24"/>
  <c r="P668" i="24"/>
  <c r="P667" i="24"/>
  <c r="P666" i="24"/>
  <c r="P665" i="24"/>
  <c r="P664" i="24"/>
  <c r="P663" i="24"/>
  <c r="P662" i="24"/>
  <c r="P661" i="24"/>
  <c r="P660" i="24"/>
  <c r="P659" i="24"/>
  <c r="P658" i="24"/>
  <c r="P657" i="24"/>
  <c r="P656" i="24"/>
  <c r="P655" i="24"/>
  <c r="P654" i="24"/>
  <c r="P653" i="24"/>
  <c r="P652" i="24"/>
  <c r="P651" i="24"/>
  <c r="P650" i="24"/>
  <c r="P649" i="24"/>
  <c r="P648" i="24"/>
  <c r="P647" i="24"/>
  <c r="P646" i="24"/>
  <c r="P645" i="24"/>
  <c r="P644" i="24"/>
  <c r="P643" i="24"/>
  <c r="P642" i="24"/>
  <c r="P641" i="24"/>
  <c r="P640" i="24"/>
  <c r="P639" i="24"/>
  <c r="P638" i="24"/>
  <c r="P637" i="24"/>
  <c r="P636" i="24"/>
  <c r="P635" i="24"/>
  <c r="P634" i="24"/>
  <c r="P633" i="24"/>
  <c r="P632" i="24"/>
  <c r="P631" i="24"/>
  <c r="P630" i="24"/>
  <c r="P629" i="24"/>
  <c r="P628" i="24"/>
  <c r="P627" i="24"/>
  <c r="P626" i="24"/>
  <c r="P625" i="24"/>
  <c r="P624" i="24"/>
  <c r="P623" i="24"/>
  <c r="P622" i="24"/>
  <c r="P621" i="24"/>
  <c r="P620" i="24"/>
  <c r="P619" i="24"/>
  <c r="P618" i="24"/>
  <c r="P617" i="24"/>
  <c r="P616" i="24"/>
  <c r="P615" i="24"/>
  <c r="P614" i="24"/>
  <c r="P613" i="24"/>
  <c r="P612" i="24"/>
  <c r="P611" i="24"/>
  <c r="P610" i="24"/>
  <c r="P609" i="24"/>
  <c r="P608" i="24"/>
  <c r="P607" i="24"/>
  <c r="P606" i="24"/>
  <c r="P605" i="24"/>
  <c r="P604" i="24"/>
  <c r="P603" i="24"/>
  <c r="P602" i="24"/>
  <c r="P601" i="24"/>
  <c r="P600" i="24"/>
  <c r="P599" i="24"/>
  <c r="P598" i="24"/>
  <c r="P597" i="24"/>
  <c r="P596" i="24"/>
  <c r="P595" i="24"/>
  <c r="P594" i="24"/>
  <c r="P593" i="24"/>
  <c r="P592" i="24"/>
  <c r="P591" i="24"/>
  <c r="P590" i="24"/>
  <c r="P589" i="24"/>
  <c r="P588" i="24"/>
  <c r="P587" i="24"/>
  <c r="P586" i="24"/>
  <c r="P585" i="24"/>
  <c r="P584" i="24"/>
  <c r="P583" i="24"/>
  <c r="P582" i="24"/>
  <c r="P581" i="24"/>
  <c r="P580" i="24"/>
  <c r="P579" i="24"/>
  <c r="P578" i="24"/>
  <c r="P577" i="24"/>
  <c r="P576" i="24"/>
  <c r="P575" i="24"/>
  <c r="P574" i="24"/>
  <c r="P573" i="24"/>
  <c r="P572" i="24"/>
  <c r="P571" i="24"/>
  <c r="P570" i="24"/>
  <c r="P569" i="24"/>
  <c r="P568" i="24"/>
  <c r="P567" i="24"/>
  <c r="P566" i="24"/>
  <c r="P565" i="24"/>
  <c r="P564" i="24"/>
  <c r="P563" i="24"/>
  <c r="P562" i="24"/>
  <c r="P561" i="24"/>
  <c r="P560" i="24"/>
  <c r="P559" i="24"/>
  <c r="P558" i="24"/>
  <c r="P557" i="24"/>
  <c r="P556" i="24"/>
  <c r="P555" i="24"/>
  <c r="P554" i="24"/>
  <c r="P553" i="24"/>
  <c r="P552" i="24"/>
  <c r="P551" i="24"/>
  <c r="P550" i="24"/>
  <c r="P549" i="24"/>
  <c r="P548" i="24"/>
  <c r="P547" i="24"/>
  <c r="P546" i="24"/>
  <c r="P545" i="24"/>
  <c r="P544" i="24"/>
  <c r="P543" i="24"/>
  <c r="P542" i="24"/>
  <c r="P541" i="24"/>
  <c r="P540" i="24"/>
  <c r="P539" i="24"/>
  <c r="P538" i="24"/>
  <c r="P537" i="24"/>
  <c r="P536" i="24"/>
  <c r="P535" i="24"/>
  <c r="P534" i="24"/>
  <c r="P533" i="24"/>
  <c r="P532" i="24"/>
  <c r="P531" i="24"/>
  <c r="P530" i="24"/>
  <c r="P529" i="24"/>
  <c r="P528" i="24"/>
  <c r="P527" i="24"/>
  <c r="P526" i="24"/>
  <c r="P525" i="24"/>
  <c r="P524" i="24"/>
  <c r="P523" i="24"/>
  <c r="P522" i="24"/>
  <c r="P521" i="24"/>
  <c r="P520" i="24"/>
  <c r="P519" i="24"/>
  <c r="P518" i="24"/>
  <c r="P517" i="24"/>
  <c r="P516" i="24"/>
  <c r="P515" i="24"/>
  <c r="P514" i="24"/>
  <c r="P513" i="24"/>
  <c r="P512" i="24"/>
  <c r="P511" i="24"/>
  <c r="P510" i="24"/>
  <c r="P509" i="24"/>
  <c r="P508" i="24"/>
  <c r="P507" i="24"/>
  <c r="P506" i="24"/>
  <c r="P505" i="24"/>
  <c r="P504" i="24"/>
  <c r="P503" i="24"/>
  <c r="P502" i="24"/>
  <c r="P501" i="24"/>
  <c r="P500" i="24"/>
  <c r="P499" i="24"/>
  <c r="P498" i="24"/>
  <c r="P497" i="24"/>
  <c r="P496" i="24"/>
  <c r="P495" i="24"/>
  <c r="P494" i="24"/>
  <c r="P493" i="24"/>
  <c r="P492" i="24"/>
  <c r="P491" i="24"/>
  <c r="P490" i="24"/>
  <c r="P489" i="24"/>
  <c r="P488" i="24"/>
  <c r="P487" i="24"/>
  <c r="P486" i="24"/>
  <c r="P485" i="24"/>
  <c r="P484" i="24"/>
  <c r="P483" i="24"/>
  <c r="P482" i="24"/>
  <c r="P481" i="24"/>
  <c r="P480" i="24"/>
  <c r="P479" i="24"/>
  <c r="P478" i="24"/>
  <c r="P477" i="24"/>
  <c r="P476" i="24"/>
  <c r="P475" i="24"/>
  <c r="P474" i="24"/>
  <c r="P473" i="24"/>
  <c r="P472" i="24"/>
  <c r="P471" i="24"/>
  <c r="P470" i="24"/>
  <c r="P469" i="24"/>
  <c r="P468" i="24"/>
  <c r="P467" i="24"/>
  <c r="P466" i="24"/>
  <c r="P465" i="24"/>
  <c r="P464" i="24"/>
  <c r="P463" i="24"/>
  <c r="P462" i="24"/>
  <c r="P461" i="24"/>
  <c r="P460" i="24"/>
  <c r="P459" i="24"/>
  <c r="P458" i="24"/>
  <c r="P457" i="24"/>
  <c r="P456" i="24"/>
  <c r="P455" i="24"/>
  <c r="P454" i="24"/>
  <c r="P453" i="24"/>
  <c r="P452" i="24"/>
  <c r="P451" i="24"/>
  <c r="P450" i="24"/>
  <c r="P449" i="24"/>
  <c r="P448" i="24"/>
  <c r="P447" i="24"/>
  <c r="P446" i="24"/>
  <c r="P445" i="24"/>
  <c r="P444" i="24"/>
  <c r="P443" i="24"/>
  <c r="P442" i="24"/>
  <c r="P441" i="24"/>
  <c r="P440" i="24"/>
  <c r="P439" i="24"/>
  <c r="P438" i="24"/>
  <c r="P437" i="24"/>
  <c r="P436" i="24"/>
  <c r="P435" i="24"/>
  <c r="P434" i="24"/>
  <c r="P433" i="24"/>
  <c r="P432" i="24"/>
  <c r="P431" i="24"/>
  <c r="P430" i="24"/>
  <c r="P429" i="24"/>
  <c r="P428" i="24"/>
  <c r="P427" i="24"/>
  <c r="P426" i="24"/>
  <c r="P425" i="24"/>
  <c r="P424" i="24"/>
  <c r="P423" i="24"/>
  <c r="P422" i="24"/>
  <c r="P421" i="24"/>
  <c r="P420" i="24"/>
  <c r="P419" i="24"/>
  <c r="P418" i="24"/>
  <c r="P417" i="24"/>
  <c r="P416" i="24"/>
  <c r="P415" i="24"/>
  <c r="P414" i="24"/>
  <c r="P413" i="24"/>
  <c r="P412" i="24"/>
  <c r="P411" i="24"/>
  <c r="P410" i="24"/>
  <c r="P409" i="24"/>
  <c r="P408" i="24"/>
  <c r="P407" i="24"/>
  <c r="P406" i="24"/>
  <c r="P405" i="24"/>
  <c r="P404" i="24"/>
  <c r="P403" i="24"/>
  <c r="P402" i="24"/>
  <c r="P401" i="24"/>
  <c r="P400" i="24"/>
  <c r="P399" i="24"/>
  <c r="P398" i="24"/>
  <c r="P397" i="24"/>
  <c r="P396" i="24"/>
  <c r="P395" i="24"/>
  <c r="P394" i="24"/>
  <c r="P393" i="24"/>
  <c r="P392" i="24"/>
  <c r="P391" i="24"/>
  <c r="P390" i="24"/>
  <c r="P389" i="24"/>
  <c r="P388" i="24"/>
  <c r="P387" i="24"/>
  <c r="P386" i="24"/>
  <c r="P385" i="24"/>
  <c r="P384" i="24"/>
  <c r="P383" i="24"/>
  <c r="P382" i="24"/>
  <c r="P381" i="24"/>
  <c r="P380" i="24"/>
  <c r="P379" i="24"/>
  <c r="P378" i="24"/>
  <c r="P377" i="24"/>
  <c r="P376" i="24"/>
  <c r="P375" i="24"/>
  <c r="P374" i="24"/>
  <c r="P373" i="24"/>
  <c r="P372" i="24"/>
  <c r="P371" i="24"/>
  <c r="P370" i="24"/>
  <c r="P369" i="24"/>
  <c r="P368" i="24"/>
  <c r="P367" i="24"/>
  <c r="P366" i="24"/>
  <c r="P365" i="24"/>
  <c r="P364" i="24"/>
  <c r="P363" i="24"/>
  <c r="P362" i="24"/>
  <c r="P361" i="24"/>
  <c r="P360" i="24"/>
  <c r="P359" i="24"/>
  <c r="P358" i="24"/>
  <c r="P357" i="24"/>
  <c r="P356" i="24"/>
  <c r="P355" i="24"/>
  <c r="P354" i="24"/>
  <c r="P353" i="24"/>
  <c r="P352" i="24"/>
  <c r="P351" i="24"/>
  <c r="P350" i="24"/>
  <c r="P349" i="24"/>
  <c r="P348" i="24"/>
  <c r="P347" i="24"/>
  <c r="P346" i="24"/>
  <c r="P345" i="24"/>
  <c r="P344" i="24"/>
  <c r="P343" i="24"/>
  <c r="P342" i="24"/>
  <c r="P341" i="24"/>
  <c r="P340" i="24"/>
  <c r="P339" i="24"/>
  <c r="P338" i="24"/>
  <c r="P337" i="24"/>
  <c r="P336" i="24"/>
  <c r="P335" i="24"/>
  <c r="P334" i="24"/>
  <c r="P333" i="24"/>
  <c r="P332" i="24"/>
  <c r="P331" i="24"/>
  <c r="P330" i="24"/>
  <c r="P329" i="24"/>
  <c r="P328" i="24"/>
  <c r="P327" i="24"/>
  <c r="P326" i="24"/>
  <c r="P325" i="24"/>
  <c r="P324" i="24"/>
  <c r="P323" i="24"/>
  <c r="P322" i="24"/>
  <c r="P321" i="24"/>
  <c r="P320" i="24"/>
  <c r="P319" i="24"/>
  <c r="P318" i="24"/>
  <c r="P317" i="24"/>
  <c r="P316" i="24"/>
  <c r="P315" i="24"/>
  <c r="P314" i="24"/>
  <c r="P313" i="24"/>
  <c r="P312" i="24"/>
  <c r="P311" i="24"/>
  <c r="P310" i="24"/>
  <c r="P309" i="24"/>
  <c r="P308" i="24"/>
  <c r="P307" i="24"/>
  <c r="P306" i="24"/>
  <c r="P305" i="24"/>
  <c r="P304" i="24"/>
  <c r="P303" i="24"/>
  <c r="P302" i="24"/>
  <c r="P301" i="24"/>
  <c r="P300" i="24"/>
  <c r="P299" i="24"/>
  <c r="P298" i="24"/>
  <c r="P297" i="24"/>
  <c r="P296" i="24"/>
  <c r="P295" i="24"/>
  <c r="P294" i="24"/>
  <c r="P293" i="24"/>
  <c r="P292" i="24"/>
  <c r="P291" i="24"/>
  <c r="P290" i="24"/>
  <c r="P289" i="24"/>
  <c r="P288" i="24"/>
  <c r="P287" i="24"/>
  <c r="P286" i="24"/>
  <c r="P285" i="24"/>
  <c r="P284" i="24"/>
  <c r="P283" i="24"/>
  <c r="P282" i="24"/>
  <c r="P281" i="24"/>
  <c r="P280" i="24"/>
  <c r="P279" i="24"/>
  <c r="P278" i="24"/>
  <c r="P277" i="24"/>
  <c r="P276" i="24"/>
  <c r="P275" i="24"/>
  <c r="P274" i="24"/>
  <c r="P273" i="24"/>
  <c r="P272" i="24"/>
  <c r="P271" i="24"/>
  <c r="P270" i="24"/>
  <c r="P269" i="24"/>
  <c r="P268" i="24"/>
  <c r="P267" i="24"/>
  <c r="P266" i="24"/>
  <c r="P265" i="24"/>
  <c r="P264" i="24"/>
  <c r="P263" i="24"/>
  <c r="P262" i="24"/>
  <c r="P261" i="24"/>
  <c r="P260" i="24"/>
  <c r="P259" i="24"/>
  <c r="P258" i="24"/>
  <c r="P257" i="24"/>
  <c r="P256" i="24"/>
  <c r="P255" i="24"/>
  <c r="P254" i="24"/>
  <c r="P253" i="24"/>
  <c r="P252" i="24"/>
  <c r="P251" i="24"/>
  <c r="P250" i="24"/>
  <c r="P249" i="24"/>
  <c r="P248" i="24"/>
  <c r="P247" i="24"/>
  <c r="P246" i="24"/>
  <c r="P245" i="24"/>
  <c r="P244" i="24"/>
  <c r="P243" i="24"/>
  <c r="P242" i="24"/>
  <c r="P241" i="24"/>
  <c r="P240" i="24"/>
  <c r="P239" i="24"/>
  <c r="P238" i="24"/>
  <c r="P237" i="24"/>
  <c r="P236" i="24"/>
  <c r="P235" i="24"/>
  <c r="P234" i="24"/>
  <c r="P233" i="24"/>
  <c r="P232" i="24"/>
  <c r="P231" i="24"/>
  <c r="P230" i="24"/>
  <c r="P229" i="24"/>
  <c r="P228" i="24"/>
  <c r="P227" i="24"/>
  <c r="P226" i="24"/>
  <c r="P225" i="24"/>
  <c r="P224" i="24"/>
  <c r="P223" i="24"/>
  <c r="P222" i="24"/>
  <c r="P221" i="24"/>
  <c r="P220" i="24"/>
  <c r="P219" i="24"/>
  <c r="P218" i="24"/>
  <c r="P217" i="24"/>
  <c r="P216" i="24"/>
  <c r="P215" i="24"/>
  <c r="P214" i="24"/>
  <c r="P213" i="24"/>
  <c r="P212" i="24"/>
  <c r="P211" i="24"/>
  <c r="P210" i="24"/>
  <c r="P209" i="24"/>
  <c r="P208" i="24"/>
  <c r="P207" i="24"/>
  <c r="P206" i="24"/>
  <c r="P205" i="24"/>
  <c r="P204" i="24"/>
  <c r="P203" i="24"/>
  <c r="P202" i="24"/>
  <c r="P201" i="24"/>
  <c r="P200" i="24"/>
  <c r="P199" i="24"/>
  <c r="P198" i="24"/>
  <c r="P197" i="24"/>
  <c r="P196" i="24"/>
  <c r="P195" i="24"/>
  <c r="P194" i="24"/>
  <c r="P193" i="24"/>
  <c r="P192" i="24"/>
  <c r="P191" i="24"/>
  <c r="P190" i="24"/>
  <c r="P189" i="24"/>
  <c r="P188" i="24"/>
  <c r="P187" i="24"/>
  <c r="P186" i="24"/>
  <c r="P185" i="24"/>
  <c r="P184" i="24"/>
  <c r="P183" i="24"/>
  <c r="P182" i="24"/>
  <c r="P181" i="24"/>
  <c r="P180" i="24"/>
  <c r="P179" i="24"/>
  <c r="P178" i="24"/>
  <c r="P177" i="24"/>
  <c r="P176" i="24"/>
  <c r="P175" i="24"/>
  <c r="P174" i="24"/>
  <c r="P173" i="24"/>
  <c r="P172" i="24"/>
  <c r="P171" i="24"/>
  <c r="P170" i="24"/>
  <c r="P169" i="24"/>
  <c r="P168" i="24"/>
  <c r="P167" i="24"/>
  <c r="P166" i="24"/>
  <c r="P165" i="24"/>
  <c r="P164" i="24"/>
  <c r="P163" i="24"/>
  <c r="P162" i="24"/>
  <c r="P161" i="24"/>
  <c r="P160" i="24"/>
  <c r="P159" i="24"/>
  <c r="P158" i="24"/>
  <c r="P157" i="24"/>
  <c r="P156" i="24"/>
  <c r="P155" i="24"/>
  <c r="P154" i="24"/>
  <c r="P153" i="24"/>
  <c r="P152" i="24"/>
  <c r="P151" i="24"/>
  <c r="P150" i="24"/>
  <c r="P149" i="24"/>
  <c r="P148" i="24"/>
  <c r="P147" i="24"/>
  <c r="P146" i="24"/>
  <c r="P145" i="24"/>
  <c r="P144" i="24"/>
  <c r="P143" i="24"/>
  <c r="P142" i="24"/>
  <c r="P141" i="24"/>
  <c r="P140" i="24"/>
  <c r="P139" i="24"/>
  <c r="P138" i="24"/>
  <c r="P137" i="24"/>
  <c r="P136" i="24"/>
  <c r="P135" i="24"/>
  <c r="P134" i="24"/>
  <c r="P133" i="24"/>
  <c r="P132" i="24"/>
  <c r="P131" i="24"/>
  <c r="P130" i="24"/>
  <c r="P129" i="24"/>
  <c r="P128" i="24"/>
  <c r="P127" i="24"/>
  <c r="P126" i="24"/>
  <c r="P125" i="24"/>
  <c r="P124" i="24"/>
  <c r="P123" i="24"/>
  <c r="P122" i="24"/>
  <c r="P121" i="24"/>
  <c r="P120" i="24"/>
  <c r="P119" i="24"/>
  <c r="P118" i="24"/>
  <c r="P117" i="24"/>
  <c r="P116" i="24"/>
  <c r="P115" i="24"/>
  <c r="P114" i="24"/>
  <c r="P113" i="24"/>
  <c r="P112" i="24"/>
  <c r="P111" i="24"/>
  <c r="P110" i="24"/>
  <c r="P109" i="24"/>
  <c r="P108" i="24"/>
  <c r="P107" i="24"/>
  <c r="P106" i="24"/>
  <c r="P105" i="24"/>
  <c r="P104" i="24"/>
  <c r="P103" i="24"/>
  <c r="P102" i="24"/>
  <c r="P101" i="24"/>
  <c r="P100" i="24"/>
  <c r="P99" i="24"/>
  <c r="P98" i="24"/>
  <c r="P97" i="24"/>
  <c r="P96" i="24"/>
  <c r="P95" i="24"/>
  <c r="P94" i="24"/>
  <c r="P93" i="24"/>
  <c r="P92" i="24"/>
  <c r="P91" i="24"/>
  <c r="P90" i="24"/>
  <c r="P89" i="24"/>
  <c r="P88" i="24"/>
  <c r="P87" i="24"/>
  <c r="P86" i="24"/>
  <c r="P85" i="24"/>
  <c r="P84" i="24"/>
  <c r="P83" i="24"/>
  <c r="P82" i="24"/>
  <c r="P81" i="24"/>
  <c r="P80" i="24"/>
  <c r="P79" i="24"/>
  <c r="P78" i="24"/>
  <c r="P77" i="24"/>
  <c r="P76" i="24"/>
  <c r="P75" i="24"/>
  <c r="P74" i="24"/>
  <c r="P73" i="24"/>
  <c r="P72" i="24"/>
  <c r="P71" i="24"/>
  <c r="P70" i="24"/>
  <c r="P69" i="24"/>
  <c r="P68" i="24"/>
  <c r="P67" i="24"/>
  <c r="P66" i="24"/>
  <c r="P65" i="24"/>
  <c r="P64" i="24"/>
  <c r="P63" i="24"/>
  <c r="P62" i="24"/>
  <c r="P61" i="24"/>
  <c r="P60" i="24"/>
  <c r="P59" i="24"/>
  <c r="P58" i="24"/>
  <c r="P57" i="24"/>
  <c r="P56" i="24"/>
  <c r="P55" i="24"/>
  <c r="P54" i="24"/>
  <c r="P53" i="24"/>
  <c r="P52" i="24"/>
  <c r="P51" i="24"/>
  <c r="P50" i="24"/>
  <c r="P49" i="24"/>
  <c r="P48" i="24"/>
  <c r="P47" i="24"/>
  <c r="P46" i="24"/>
  <c r="P45" i="24"/>
  <c r="P44" i="24"/>
  <c r="P43" i="24"/>
  <c r="P42" i="24"/>
  <c r="P41" i="24"/>
  <c r="P40" i="24"/>
  <c r="P39" i="24"/>
  <c r="P38" i="24"/>
  <c r="P37" i="24"/>
  <c r="P36" i="24"/>
  <c r="P35" i="24"/>
  <c r="P34" i="24"/>
  <c r="P33" i="24"/>
  <c r="P32" i="24"/>
  <c r="P31" i="24"/>
  <c r="P30" i="24"/>
  <c r="P29" i="24"/>
  <c r="P28" i="24"/>
  <c r="P27" i="24"/>
  <c r="P26" i="24"/>
  <c r="P25" i="24"/>
  <c r="P24" i="24"/>
  <c r="P23" i="24"/>
  <c r="P22" i="24"/>
  <c r="P21" i="24"/>
  <c r="P20" i="24"/>
  <c r="P19" i="24"/>
  <c r="P18" i="24"/>
  <c r="P17" i="24"/>
  <c r="P16" i="24"/>
  <c r="P15" i="24"/>
  <c r="P14" i="24"/>
  <c r="P13" i="24"/>
  <c r="P12" i="24"/>
  <c r="P11" i="24"/>
  <c r="P10" i="24"/>
  <c r="P9" i="24"/>
  <c r="P8" i="24"/>
  <c r="P7" i="24"/>
  <c r="P6" i="24"/>
  <c r="P5" i="24"/>
  <c r="P650" i="29"/>
  <c r="P649" i="29"/>
  <c r="P648" i="29"/>
  <c r="P647" i="29"/>
  <c r="P646" i="29"/>
  <c r="P645" i="29"/>
  <c r="P644" i="29"/>
  <c r="P643" i="29"/>
  <c r="P642" i="29"/>
  <c r="P641" i="29"/>
  <c r="P640" i="29"/>
  <c r="P639" i="29"/>
  <c r="P638" i="29"/>
  <c r="P637" i="29"/>
  <c r="P636" i="29"/>
  <c r="P635" i="29"/>
  <c r="P634" i="29"/>
  <c r="P633" i="29"/>
  <c r="P632" i="29"/>
  <c r="P631" i="29"/>
  <c r="P630" i="29"/>
  <c r="P629" i="29"/>
  <c r="P628" i="29"/>
  <c r="P627" i="29"/>
  <c r="P626" i="29"/>
  <c r="P625" i="29"/>
  <c r="P624" i="29"/>
  <c r="P623" i="29"/>
  <c r="P622" i="29"/>
  <c r="P621" i="29"/>
  <c r="P620" i="29"/>
  <c r="P619" i="29"/>
  <c r="P618" i="29"/>
  <c r="P617" i="29"/>
  <c r="P616" i="29"/>
  <c r="P615" i="29"/>
  <c r="P614" i="29"/>
  <c r="P613" i="29"/>
  <c r="P612" i="29"/>
  <c r="P611" i="29"/>
  <c r="P610" i="29"/>
  <c r="P609" i="29"/>
  <c r="P608" i="29"/>
  <c r="P607" i="29"/>
  <c r="P606" i="29"/>
  <c r="P605" i="29"/>
  <c r="P604" i="29"/>
  <c r="P603" i="29"/>
  <c r="P602" i="29"/>
  <c r="P601" i="29"/>
  <c r="P600" i="29"/>
  <c r="P599" i="29"/>
  <c r="P598" i="29"/>
  <c r="P597" i="29"/>
  <c r="P596" i="29"/>
  <c r="P595" i="29"/>
  <c r="P594" i="29"/>
  <c r="P593" i="29"/>
  <c r="P592" i="29"/>
  <c r="P591" i="29"/>
  <c r="P590" i="29"/>
  <c r="P589" i="29"/>
  <c r="P588" i="29"/>
  <c r="P587" i="29"/>
  <c r="P586" i="29"/>
  <c r="P585" i="29"/>
  <c r="P584" i="29"/>
  <c r="P583" i="29"/>
  <c r="P582" i="29"/>
  <c r="P581" i="29"/>
  <c r="P580" i="29"/>
  <c r="P579" i="29"/>
  <c r="P578" i="29"/>
  <c r="P577" i="29"/>
  <c r="P576" i="29"/>
  <c r="P575" i="29"/>
  <c r="P574" i="29"/>
  <c r="P573" i="29"/>
  <c r="P572" i="29"/>
  <c r="P571" i="29"/>
  <c r="P570" i="29"/>
  <c r="P569" i="29"/>
  <c r="P568" i="29"/>
  <c r="P567" i="29"/>
  <c r="P566" i="29"/>
  <c r="P565" i="29"/>
  <c r="P564" i="29"/>
  <c r="P563" i="29"/>
  <c r="P562" i="29"/>
  <c r="P561" i="29"/>
  <c r="P560" i="29"/>
  <c r="P559" i="29"/>
  <c r="P558" i="29"/>
  <c r="P557" i="29"/>
  <c r="P556" i="29"/>
  <c r="P555" i="29"/>
  <c r="P554" i="29"/>
  <c r="P553" i="29"/>
  <c r="P552" i="29"/>
  <c r="P551" i="29"/>
  <c r="P550" i="29"/>
  <c r="P549" i="29"/>
  <c r="P548" i="29"/>
  <c r="P547" i="29"/>
  <c r="P546" i="29"/>
  <c r="P545" i="29"/>
  <c r="P544" i="29"/>
  <c r="P543" i="29"/>
  <c r="P542" i="29"/>
  <c r="P541" i="29"/>
  <c r="P540" i="29"/>
  <c r="P539" i="29"/>
  <c r="P538" i="29"/>
  <c r="P537" i="29"/>
  <c r="P536" i="29"/>
  <c r="P535" i="29"/>
  <c r="P534" i="29"/>
  <c r="P533" i="29"/>
  <c r="P532" i="29"/>
  <c r="P531" i="29"/>
  <c r="P530" i="29"/>
  <c r="P529" i="29"/>
  <c r="P528" i="29"/>
  <c r="P527" i="29"/>
  <c r="P526" i="29"/>
  <c r="P525" i="29"/>
  <c r="P524" i="29"/>
  <c r="P523" i="29"/>
  <c r="P522" i="29"/>
  <c r="P521" i="29"/>
  <c r="P520" i="29"/>
  <c r="P519" i="29"/>
  <c r="P518" i="29"/>
  <c r="P517" i="29"/>
  <c r="P516" i="29"/>
  <c r="P515" i="29"/>
  <c r="P514" i="29"/>
  <c r="P513" i="29"/>
  <c r="P512" i="29"/>
  <c r="P511" i="29"/>
  <c r="P510" i="29"/>
  <c r="P509" i="29"/>
  <c r="P508" i="29"/>
  <c r="P507" i="29"/>
  <c r="P506" i="29"/>
  <c r="P505" i="29"/>
  <c r="P504" i="29"/>
  <c r="P503" i="29"/>
  <c r="P502" i="29"/>
  <c r="P501" i="29"/>
  <c r="P500" i="29"/>
  <c r="P499" i="29"/>
  <c r="P498" i="29"/>
  <c r="P497" i="29"/>
  <c r="P496" i="29"/>
  <c r="P495" i="29"/>
  <c r="P494" i="29"/>
  <c r="P493" i="29"/>
  <c r="P492" i="29"/>
  <c r="P491" i="29"/>
  <c r="P490" i="29"/>
  <c r="P489" i="29"/>
  <c r="P488" i="29"/>
  <c r="P487" i="29"/>
  <c r="P486" i="29"/>
  <c r="P485" i="29"/>
  <c r="P484" i="29"/>
  <c r="P483" i="29"/>
  <c r="P482" i="29"/>
  <c r="P481" i="29"/>
  <c r="P480" i="29"/>
  <c r="P479" i="29"/>
  <c r="P478" i="29"/>
  <c r="P477" i="29"/>
  <c r="P476" i="29"/>
  <c r="P475" i="29"/>
  <c r="P474" i="29"/>
  <c r="P473" i="29"/>
  <c r="P472" i="29"/>
  <c r="P471" i="29"/>
  <c r="P470" i="29"/>
  <c r="P469" i="29"/>
  <c r="P468" i="29"/>
  <c r="P467" i="29"/>
  <c r="P466" i="29"/>
  <c r="P465" i="29"/>
  <c r="P464" i="29"/>
  <c r="P463" i="29"/>
  <c r="P462" i="29"/>
  <c r="P461" i="29"/>
  <c r="P460" i="29"/>
  <c r="P459" i="29"/>
  <c r="P458" i="29"/>
  <c r="P457" i="29"/>
  <c r="P456" i="29"/>
  <c r="P455" i="29"/>
  <c r="P454" i="29"/>
  <c r="P453" i="29"/>
  <c r="P452" i="29"/>
  <c r="P451" i="29"/>
  <c r="P450" i="29"/>
  <c r="P449" i="29"/>
  <c r="P448" i="29"/>
  <c r="P447" i="29"/>
  <c r="P446" i="29"/>
  <c r="P445" i="29"/>
  <c r="P444" i="29"/>
  <c r="P443" i="29"/>
  <c r="P442" i="29"/>
  <c r="P441" i="29"/>
  <c r="P440" i="29"/>
  <c r="P439" i="29"/>
  <c r="P438" i="29"/>
  <c r="P437" i="29"/>
  <c r="P436" i="29"/>
  <c r="P435" i="29"/>
  <c r="P434" i="29"/>
  <c r="P433" i="29"/>
  <c r="P432" i="29"/>
  <c r="P431" i="29"/>
  <c r="P430" i="29"/>
  <c r="P429" i="29"/>
  <c r="P428" i="29"/>
  <c r="P427" i="29"/>
  <c r="P426" i="29"/>
  <c r="P425" i="29"/>
  <c r="P424" i="29"/>
  <c r="P423" i="29"/>
  <c r="P422" i="29"/>
  <c r="P421" i="29"/>
  <c r="P420" i="29"/>
  <c r="P419" i="29"/>
  <c r="P418" i="29"/>
  <c r="P417" i="29"/>
  <c r="P416" i="29"/>
  <c r="P415" i="29"/>
  <c r="P414" i="29"/>
  <c r="P413" i="29"/>
  <c r="P412" i="29"/>
  <c r="P411" i="29"/>
  <c r="P410" i="29"/>
  <c r="P409" i="29"/>
  <c r="P408" i="29"/>
  <c r="P407" i="29"/>
  <c r="P406" i="29"/>
  <c r="P405" i="29"/>
  <c r="P404" i="29"/>
  <c r="P403" i="29"/>
  <c r="P402" i="29"/>
  <c r="P401" i="29"/>
  <c r="P400" i="29"/>
  <c r="P399" i="29"/>
  <c r="P398" i="29"/>
  <c r="P397" i="29"/>
  <c r="P396" i="29"/>
  <c r="P395" i="29"/>
  <c r="P394" i="29"/>
  <c r="P393" i="29"/>
  <c r="P392" i="29"/>
  <c r="P391" i="29"/>
  <c r="P390" i="29"/>
  <c r="P389" i="29"/>
  <c r="P388" i="29"/>
  <c r="P387" i="29"/>
  <c r="P386" i="29"/>
  <c r="P385" i="29"/>
  <c r="P384" i="29"/>
  <c r="P383" i="29"/>
  <c r="P382" i="29"/>
  <c r="P381" i="29"/>
  <c r="P380" i="29"/>
  <c r="P379" i="29"/>
  <c r="P378" i="29"/>
  <c r="P377" i="29"/>
  <c r="P376" i="29"/>
  <c r="P375" i="29"/>
  <c r="P374" i="29"/>
  <c r="P373" i="29"/>
  <c r="P372" i="29"/>
  <c r="P371" i="29"/>
  <c r="P370" i="29"/>
  <c r="P369" i="29"/>
  <c r="P368" i="29"/>
  <c r="P367" i="29"/>
  <c r="P366" i="29"/>
  <c r="P365" i="29"/>
  <c r="P364" i="29"/>
  <c r="P363" i="29"/>
  <c r="P362" i="29"/>
  <c r="P361" i="29"/>
  <c r="P360" i="29"/>
  <c r="P359" i="29"/>
  <c r="P358" i="29"/>
  <c r="P357" i="29"/>
  <c r="P356" i="29"/>
  <c r="P355" i="29"/>
  <c r="P354" i="29"/>
  <c r="P353" i="29"/>
  <c r="P352" i="29"/>
  <c r="P351" i="29"/>
  <c r="P350" i="29"/>
  <c r="P349" i="29"/>
  <c r="P348" i="29"/>
  <c r="P347" i="29"/>
  <c r="P346" i="29"/>
  <c r="P345" i="29"/>
  <c r="P344" i="29"/>
  <c r="P343" i="29"/>
  <c r="P342" i="29"/>
  <c r="P341" i="29"/>
  <c r="P340" i="29"/>
  <c r="P339" i="29"/>
  <c r="P338" i="29"/>
  <c r="P337" i="29"/>
  <c r="P336" i="29"/>
  <c r="P335" i="29"/>
  <c r="P334" i="29"/>
  <c r="P333" i="29"/>
  <c r="P332" i="29"/>
  <c r="P331" i="29"/>
  <c r="P330" i="29"/>
  <c r="P329" i="29"/>
  <c r="P328" i="29"/>
  <c r="P327" i="29"/>
  <c r="P326" i="29"/>
  <c r="P325" i="29"/>
  <c r="P324" i="29"/>
  <c r="P323" i="29"/>
  <c r="P322" i="29"/>
  <c r="P321" i="29"/>
  <c r="P320" i="29"/>
  <c r="P319" i="29"/>
  <c r="P318" i="29"/>
  <c r="P317" i="29"/>
  <c r="P316" i="29"/>
  <c r="P315" i="29"/>
  <c r="P314" i="29"/>
  <c r="P313" i="29"/>
  <c r="P312" i="29"/>
  <c r="P311" i="29"/>
  <c r="P310" i="29"/>
  <c r="P309" i="29"/>
  <c r="P308" i="29"/>
  <c r="P307" i="29"/>
  <c r="P306" i="29"/>
  <c r="P305" i="29"/>
  <c r="P304" i="29"/>
  <c r="P303" i="29"/>
  <c r="P302" i="29"/>
  <c r="P301" i="29"/>
  <c r="P300" i="29"/>
  <c r="P299" i="29"/>
  <c r="P298" i="29"/>
  <c r="P297" i="29"/>
  <c r="P296" i="29"/>
  <c r="P295" i="29"/>
  <c r="P294" i="29"/>
  <c r="P293" i="29"/>
  <c r="P292" i="29"/>
  <c r="P291" i="29"/>
  <c r="P290" i="29"/>
  <c r="P289" i="29"/>
  <c r="P288" i="29"/>
  <c r="P287" i="29"/>
  <c r="P286" i="29"/>
  <c r="P285" i="29"/>
  <c r="P284" i="29"/>
  <c r="P283" i="29"/>
  <c r="P282" i="29"/>
  <c r="P281" i="29"/>
  <c r="P280" i="29"/>
  <c r="P279" i="29"/>
  <c r="P278" i="29"/>
  <c r="P277" i="29"/>
  <c r="P276" i="29"/>
  <c r="P275" i="29"/>
  <c r="P274" i="29"/>
  <c r="P273" i="29"/>
  <c r="P272" i="29"/>
  <c r="P271" i="29"/>
  <c r="P270" i="29"/>
  <c r="P269" i="29"/>
  <c r="P268" i="29"/>
  <c r="P267" i="29"/>
  <c r="P266" i="29"/>
  <c r="P265" i="29"/>
  <c r="P264" i="29"/>
  <c r="P263" i="29"/>
  <c r="P262" i="29"/>
  <c r="P261" i="29"/>
  <c r="P260" i="29"/>
  <c r="P259" i="29"/>
  <c r="P258" i="29"/>
  <c r="P257" i="29"/>
  <c r="P256" i="29"/>
  <c r="P255" i="29"/>
  <c r="P254" i="29"/>
  <c r="P253" i="29"/>
  <c r="P252" i="29"/>
  <c r="P251" i="29"/>
  <c r="P250" i="29"/>
  <c r="P249" i="29"/>
  <c r="P248" i="29"/>
  <c r="P247" i="29"/>
  <c r="P246" i="29"/>
  <c r="P245" i="29"/>
  <c r="P244" i="29"/>
  <c r="P243" i="29"/>
  <c r="P242" i="29"/>
  <c r="P241" i="29"/>
  <c r="P240" i="29"/>
  <c r="P239" i="29"/>
  <c r="P238" i="29"/>
  <c r="P237" i="29"/>
  <c r="P236" i="29"/>
  <c r="P235" i="29"/>
  <c r="P234" i="29"/>
  <c r="P233" i="29"/>
  <c r="P232" i="29"/>
  <c r="P231" i="29"/>
  <c r="P230" i="29"/>
  <c r="P229" i="29"/>
  <c r="P228" i="29"/>
  <c r="P227" i="29"/>
  <c r="P226" i="29"/>
  <c r="P225" i="29"/>
  <c r="P224" i="29"/>
  <c r="P223" i="29"/>
  <c r="P222" i="29"/>
  <c r="P221" i="29"/>
  <c r="P220" i="29"/>
  <c r="P219" i="29"/>
  <c r="P218" i="29"/>
  <c r="P217" i="29"/>
  <c r="P216" i="29"/>
  <c r="P215" i="29"/>
  <c r="P214" i="29"/>
  <c r="P213" i="29"/>
  <c r="P212" i="29"/>
  <c r="P211" i="29"/>
  <c r="P210" i="29"/>
  <c r="P209" i="29"/>
  <c r="P208" i="29"/>
  <c r="P207" i="29"/>
  <c r="P206" i="29"/>
  <c r="P205" i="29"/>
  <c r="P204" i="29"/>
  <c r="P203" i="29"/>
  <c r="P202" i="29"/>
  <c r="P201" i="29"/>
  <c r="P200" i="29"/>
  <c r="P199" i="29"/>
  <c r="P198" i="29"/>
  <c r="P197" i="29"/>
  <c r="P196" i="29"/>
  <c r="P195" i="29"/>
  <c r="P194" i="29"/>
  <c r="P193" i="29"/>
  <c r="P192" i="29"/>
  <c r="P191" i="29"/>
  <c r="P190" i="29"/>
  <c r="P189" i="29"/>
  <c r="P188" i="29"/>
  <c r="P187" i="29"/>
  <c r="P186" i="29"/>
  <c r="P185" i="29"/>
  <c r="P184" i="29"/>
  <c r="P183" i="29"/>
  <c r="P182" i="29"/>
  <c r="P181" i="29"/>
  <c r="P180" i="29"/>
  <c r="P179" i="29"/>
  <c r="P178" i="29"/>
  <c r="P177" i="29"/>
  <c r="P176" i="29"/>
  <c r="P175" i="29"/>
  <c r="P174" i="29"/>
  <c r="P173" i="29"/>
  <c r="P172" i="29"/>
  <c r="P171" i="29"/>
  <c r="P170" i="29"/>
  <c r="P169" i="29"/>
  <c r="P168" i="29"/>
  <c r="P167" i="29"/>
  <c r="P166" i="29"/>
  <c r="P165" i="29"/>
  <c r="P164" i="29"/>
  <c r="P163" i="29"/>
  <c r="P162" i="29"/>
  <c r="P161" i="29"/>
  <c r="P160" i="29"/>
  <c r="P159" i="29"/>
  <c r="P158" i="29"/>
  <c r="P157" i="29"/>
  <c r="P156" i="29"/>
  <c r="P155" i="29"/>
  <c r="P154" i="29"/>
  <c r="P153" i="29"/>
  <c r="P152" i="29"/>
  <c r="P151" i="29"/>
  <c r="P150" i="29"/>
  <c r="P149" i="29"/>
  <c r="P148" i="29"/>
  <c r="P147" i="29"/>
  <c r="P146" i="29"/>
  <c r="P145" i="29"/>
  <c r="P144" i="29"/>
  <c r="P143" i="29"/>
  <c r="P142" i="29"/>
  <c r="P141" i="29"/>
  <c r="P140" i="29"/>
  <c r="P139" i="29"/>
  <c r="P138" i="29"/>
  <c r="P137" i="29"/>
  <c r="P136" i="29"/>
  <c r="P135" i="29"/>
  <c r="P134" i="29"/>
  <c r="P133" i="29"/>
  <c r="P132" i="29"/>
  <c r="P131" i="29"/>
  <c r="P130" i="29"/>
  <c r="P129" i="29"/>
  <c r="P128" i="29"/>
  <c r="P127" i="29"/>
  <c r="P126" i="29"/>
  <c r="P125" i="29"/>
  <c r="P124" i="29"/>
  <c r="P123" i="29"/>
  <c r="P122" i="29"/>
  <c r="P121" i="29"/>
  <c r="P120" i="29"/>
  <c r="P119" i="29"/>
  <c r="P118" i="29"/>
  <c r="P117" i="29"/>
  <c r="P116" i="29"/>
  <c r="P115" i="29"/>
  <c r="P114" i="29"/>
  <c r="P113" i="29"/>
  <c r="P112" i="29"/>
  <c r="P111" i="29"/>
  <c r="P110" i="29"/>
  <c r="P109" i="29"/>
  <c r="P108" i="29"/>
  <c r="P107" i="29"/>
  <c r="P106" i="29"/>
  <c r="P105" i="29"/>
  <c r="P104" i="29"/>
  <c r="P103" i="29"/>
  <c r="P102" i="29"/>
  <c r="P101" i="29"/>
  <c r="P100" i="29"/>
  <c r="P99" i="29"/>
  <c r="P98" i="29"/>
  <c r="P97" i="29"/>
  <c r="P96" i="29"/>
  <c r="P95" i="29"/>
  <c r="P94" i="29"/>
  <c r="P93" i="29"/>
  <c r="P92" i="29"/>
  <c r="P91" i="29"/>
  <c r="P90" i="29"/>
  <c r="P89" i="29"/>
  <c r="P88" i="29"/>
  <c r="P87" i="29"/>
  <c r="P86" i="29"/>
  <c r="P85" i="29"/>
  <c r="P84" i="29"/>
  <c r="P83" i="29"/>
  <c r="P82" i="29"/>
  <c r="P81" i="29"/>
  <c r="P80" i="29"/>
  <c r="P79" i="29"/>
  <c r="P78" i="29"/>
  <c r="P77" i="29"/>
  <c r="P76" i="29"/>
  <c r="P75" i="29"/>
  <c r="P74" i="29"/>
  <c r="P73" i="29"/>
  <c r="P72" i="29"/>
  <c r="P71" i="29"/>
  <c r="P70" i="29"/>
  <c r="P69" i="29"/>
  <c r="P68" i="29"/>
  <c r="P67" i="29"/>
  <c r="P66" i="29"/>
  <c r="P65" i="29"/>
  <c r="P64" i="29"/>
  <c r="P63" i="29"/>
  <c r="P62" i="29"/>
  <c r="P61" i="29"/>
  <c r="P60" i="29"/>
  <c r="P59" i="29"/>
  <c r="P58" i="29"/>
  <c r="P57" i="29"/>
  <c r="P56" i="29"/>
  <c r="P55" i="29"/>
  <c r="P54" i="29"/>
  <c r="P53" i="29"/>
  <c r="P52" i="29"/>
  <c r="P51" i="29"/>
  <c r="P50" i="29"/>
  <c r="P49" i="29"/>
  <c r="P48" i="29"/>
  <c r="P47" i="29"/>
  <c r="P46" i="29"/>
  <c r="P45" i="29"/>
  <c r="P44" i="29"/>
  <c r="P43" i="29"/>
  <c r="P42" i="29"/>
  <c r="P41" i="29"/>
  <c r="P40" i="29"/>
  <c r="P39" i="29"/>
  <c r="P38" i="29"/>
  <c r="P37" i="29"/>
  <c r="P36" i="29"/>
  <c r="P35" i="29"/>
  <c r="P34" i="29"/>
  <c r="P33" i="29"/>
  <c r="P32" i="29"/>
  <c r="P31" i="29"/>
  <c r="P30" i="29"/>
  <c r="P29" i="29"/>
  <c r="P28" i="29"/>
  <c r="P27" i="29"/>
  <c r="P26" i="29"/>
  <c r="P25" i="29"/>
  <c r="P24" i="29"/>
  <c r="P23" i="29"/>
  <c r="P22" i="29"/>
  <c r="P21" i="29"/>
  <c r="P20" i="29"/>
  <c r="P19" i="29"/>
  <c r="P18" i="29"/>
  <c r="P17" i="29"/>
  <c r="P16" i="29"/>
  <c r="P15" i="29"/>
  <c r="P14" i="29"/>
  <c r="P13" i="29"/>
  <c r="P12" i="29"/>
  <c r="P11" i="29"/>
  <c r="P10" i="29"/>
  <c r="P9" i="29"/>
  <c r="P8" i="29"/>
  <c r="P7" i="29"/>
  <c r="P6" i="29"/>
  <c r="P5" i="29"/>
  <c r="R650" i="29"/>
  <c r="R649" i="29"/>
  <c r="R648" i="29"/>
  <c r="R647" i="29"/>
  <c r="R646" i="29"/>
  <c r="R645" i="29"/>
  <c r="R644" i="29"/>
  <c r="R643" i="29"/>
  <c r="R642" i="29"/>
  <c r="R641" i="29"/>
  <c r="R640" i="29"/>
  <c r="R639" i="29"/>
  <c r="R638" i="29"/>
  <c r="R637" i="29"/>
  <c r="R636" i="29"/>
  <c r="R635" i="29"/>
  <c r="R634" i="29"/>
  <c r="R633" i="29"/>
  <c r="R632" i="29"/>
  <c r="R631" i="29"/>
  <c r="R630" i="29"/>
  <c r="R629" i="29"/>
  <c r="R628" i="29"/>
  <c r="R627" i="29"/>
  <c r="R626" i="29"/>
  <c r="R625" i="29"/>
  <c r="R624" i="29"/>
  <c r="R623" i="29"/>
  <c r="R622" i="29"/>
  <c r="R621" i="29"/>
  <c r="R620" i="29"/>
  <c r="R619" i="29"/>
  <c r="R618" i="29"/>
  <c r="R617" i="29"/>
  <c r="R616" i="29"/>
  <c r="R615" i="29"/>
  <c r="R614" i="29"/>
  <c r="R613" i="29"/>
  <c r="R612" i="29"/>
  <c r="R611" i="29"/>
  <c r="R610" i="29"/>
  <c r="R609" i="29"/>
  <c r="R608" i="29"/>
  <c r="R607" i="29"/>
  <c r="R606" i="29"/>
  <c r="R605" i="29"/>
  <c r="R604" i="29"/>
  <c r="R603" i="29"/>
  <c r="R602" i="29"/>
  <c r="R601" i="29"/>
  <c r="R600" i="29"/>
  <c r="R599" i="29"/>
  <c r="R598" i="29"/>
  <c r="R597" i="29"/>
  <c r="R596" i="29"/>
  <c r="R595" i="29"/>
  <c r="R594" i="29"/>
  <c r="R593" i="29"/>
  <c r="R592" i="29"/>
  <c r="R591" i="29"/>
  <c r="R590" i="29"/>
  <c r="R589" i="29"/>
  <c r="R588" i="29"/>
  <c r="R587" i="29"/>
  <c r="R586" i="29"/>
  <c r="R585" i="29"/>
  <c r="R584" i="29"/>
  <c r="R583" i="29"/>
  <c r="R582" i="29"/>
  <c r="R581" i="29"/>
  <c r="R580" i="29"/>
  <c r="R579" i="29"/>
  <c r="R578" i="29"/>
  <c r="R577" i="29"/>
  <c r="R576" i="29"/>
  <c r="R575" i="29"/>
  <c r="R574" i="29"/>
  <c r="R573" i="29"/>
  <c r="R572" i="29"/>
  <c r="R571" i="29"/>
  <c r="R570" i="29"/>
  <c r="R569" i="29"/>
  <c r="R568" i="29"/>
  <c r="R567" i="29"/>
  <c r="R566" i="29"/>
  <c r="R565" i="29"/>
  <c r="R564" i="29"/>
  <c r="R563" i="29"/>
  <c r="R562" i="29"/>
  <c r="R561" i="29"/>
  <c r="R560" i="29"/>
  <c r="R559" i="29"/>
  <c r="R558" i="29"/>
  <c r="R557" i="29"/>
  <c r="R556" i="29"/>
  <c r="R555" i="29"/>
  <c r="R554" i="29"/>
  <c r="R553" i="29"/>
  <c r="R552" i="29"/>
  <c r="R551" i="29"/>
  <c r="R550" i="29"/>
  <c r="R549" i="29"/>
  <c r="R548" i="29"/>
  <c r="R547" i="29"/>
  <c r="R546" i="29"/>
  <c r="R545" i="29"/>
  <c r="R544" i="29"/>
  <c r="R543" i="29"/>
  <c r="R542" i="29"/>
  <c r="R541" i="29"/>
  <c r="R540" i="29"/>
  <c r="R539" i="29"/>
  <c r="R538" i="29"/>
  <c r="R537" i="29"/>
  <c r="R536" i="29"/>
  <c r="R535" i="29"/>
  <c r="R534" i="29"/>
  <c r="R533" i="29"/>
  <c r="R532" i="29"/>
  <c r="R531" i="29"/>
  <c r="R530" i="29"/>
  <c r="R529" i="29"/>
  <c r="R528" i="29"/>
  <c r="R527" i="29"/>
  <c r="R526" i="29"/>
  <c r="R525" i="29"/>
  <c r="R524" i="29"/>
  <c r="R523" i="29"/>
  <c r="R522" i="29"/>
  <c r="R521" i="29"/>
  <c r="R520" i="29"/>
  <c r="R519" i="29"/>
  <c r="R518" i="29"/>
  <c r="R517" i="29"/>
  <c r="R516" i="29"/>
  <c r="R515" i="29"/>
  <c r="R514" i="29"/>
  <c r="R513" i="29"/>
  <c r="R512" i="29"/>
  <c r="R511" i="29"/>
  <c r="R510" i="29"/>
  <c r="R509" i="29"/>
  <c r="R508" i="29"/>
  <c r="R507" i="29"/>
  <c r="R506" i="29"/>
  <c r="R505" i="29"/>
  <c r="R504" i="29"/>
  <c r="R503" i="29"/>
  <c r="R502" i="29"/>
  <c r="R501" i="29"/>
  <c r="R500" i="29"/>
  <c r="R499" i="29"/>
  <c r="R498" i="29"/>
  <c r="R497" i="29"/>
  <c r="R496" i="29"/>
  <c r="R495" i="29"/>
  <c r="R494" i="29"/>
  <c r="R493" i="29"/>
  <c r="R492" i="29"/>
  <c r="R491" i="29"/>
  <c r="R490" i="29"/>
  <c r="R489" i="29"/>
  <c r="R488" i="29"/>
  <c r="R487" i="29"/>
  <c r="R486" i="29"/>
  <c r="R485" i="29"/>
  <c r="R484" i="29"/>
  <c r="R483" i="29"/>
  <c r="R482" i="29"/>
  <c r="R481" i="29"/>
  <c r="R480" i="29"/>
  <c r="R479" i="29"/>
  <c r="R478" i="29"/>
  <c r="R477" i="29"/>
  <c r="R476" i="29"/>
  <c r="R475" i="29"/>
  <c r="R474" i="29"/>
  <c r="R473" i="29"/>
  <c r="R472" i="29"/>
  <c r="R471" i="29"/>
  <c r="R470" i="29"/>
  <c r="R469" i="29"/>
  <c r="R468" i="29"/>
  <c r="R467" i="29"/>
  <c r="R466" i="29"/>
  <c r="R465" i="29"/>
  <c r="R464" i="29"/>
  <c r="R463" i="29"/>
  <c r="R462" i="29"/>
  <c r="R461" i="29"/>
  <c r="R460" i="29"/>
  <c r="R459" i="29"/>
  <c r="R458" i="29"/>
  <c r="R457" i="29"/>
  <c r="R456" i="29"/>
  <c r="R455" i="29"/>
  <c r="R454" i="29"/>
  <c r="R453" i="29"/>
  <c r="R452" i="29"/>
  <c r="R451" i="29"/>
  <c r="R450" i="29"/>
  <c r="R449" i="29"/>
  <c r="R448" i="29"/>
  <c r="R447" i="29"/>
  <c r="R446" i="29"/>
  <c r="R445" i="29"/>
  <c r="R444" i="29"/>
  <c r="R443" i="29"/>
  <c r="R442" i="29"/>
  <c r="R441" i="29"/>
  <c r="R440" i="29"/>
  <c r="R439" i="29"/>
  <c r="R438" i="29"/>
  <c r="R437" i="29"/>
  <c r="R436" i="29"/>
  <c r="R435" i="29"/>
  <c r="R434" i="29"/>
  <c r="R433" i="29"/>
  <c r="R432" i="29"/>
  <c r="R431" i="29"/>
  <c r="R430" i="29"/>
  <c r="R429" i="29"/>
  <c r="R428" i="29"/>
  <c r="R427" i="29"/>
  <c r="R426" i="29"/>
  <c r="R425" i="29"/>
  <c r="R424" i="29"/>
  <c r="R423" i="29"/>
  <c r="R422" i="29"/>
  <c r="R421" i="29"/>
  <c r="R420" i="29"/>
  <c r="R419" i="29"/>
  <c r="R418" i="29"/>
  <c r="R417" i="29"/>
  <c r="R416" i="29"/>
  <c r="R415" i="29"/>
  <c r="R414" i="29"/>
  <c r="R413" i="29"/>
  <c r="R412" i="29"/>
  <c r="R411" i="29"/>
  <c r="R410" i="29"/>
  <c r="R409" i="29"/>
  <c r="R408" i="29"/>
  <c r="R407" i="29"/>
  <c r="R406" i="29"/>
  <c r="R405" i="29"/>
  <c r="R404" i="29"/>
  <c r="R403" i="29"/>
  <c r="R402" i="29"/>
  <c r="R401" i="29"/>
  <c r="R400" i="29"/>
  <c r="R399" i="29"/>
  <c r="R398" i="29"/>
  <c r="R397" i="29"/>
  <c r="R396" i="29"/>
  <c r="R395" i="29"/>
  <c r="R394" i="29"/>
  <c r="R393" i="29"/>
  <c r="R392" i="29"/>
  <c r="R391" i="29"/>
  <c r="R390" i="29"/>
  <c r="R389" i="29"/>
  <c r="R388" i="29"/>
  <c r="R387" i="29"/>
  <c r="R386" i="29"/>
  <c r="R385" i="29"/>
  <c r="R384" i="29"/>
  <c r="R383" i="29"/>
  <c r="R382" i="29"/>
  <c r="R381" i="29"/>
  <c r="R380" i="29"/>
  <c r="R379" i="29"/>
  <c r="R378" i="29"/>
  <c r="R377" i="29"/>
  <c r="R376" i="29"/>
  <c r="R375" i="29"/>
  <c r="R374" i="29"/>
  <c r="R373" i="29"/>
  <c r="R372" i="29"/>
  <c r="R371" i="29"/>
  <c r="R370" i="29"/>
  <c r="R369" i="29"/>
  <c r="R368" i="29"/>
  <c r="R367" i="29"/>
  <c r="R366" i="29"/>
  <c r="R365" i="29"/>
  <c r="R364" i="29"/>
  <c r="R363" i="29"/>
  <c r="R362" i="29"/>
  <c r="R361" i="29"/>
  <c r="R360" i="29"/>
  <c r="R359" i="29"/>
  <c r="R358" i="29"/>
  <c r="R357" i="29"/>
  <c r="R356" i="29"/>
  <c r="R355" i="29"/>
  <c r="R354" i="29"/>
  <c r="R353" i="29"/>
  <c r="R352" i="29"/>
  <c r="R351" i="29"/>
  <c r="R350" i="29"/>
  <c r="R349" i="29"/>
  <c r="R348" i="29"/>
  <c r="R347" i="29"/>
  <c r="R346" i="29"/>
  <c r="R345" i="29"/>
  <c r="R344" i="29"/>
  <c r="R343" i="29"/>
  <c r="R342" i="29"/>
  <c r="R341" i="29"/>
  <c r="R340" i="29"/>
  <c r="R339" i="29"/>
  <c r="R338" i="29"/>
  <c r="R337" i="29"/>
  <c r="R336" i="29"/>
  <c r="R335" i="29"/>
  <c r="R334" i="29"/>
  <c r="R333" i="29"/>
  <c r="R332" i="29"/>
  <c r="R331" i="29"/>
  <c r="R330" i="29"/>
  <c r="R329" i="29"/>
  <c r="R328" i="29"/>
  <c r="R327" i="29"/>
  <c r="R326" i="29"/>
  <c r="R325" i="29"/>
  <c r="R324" i="29"/>
  <c r="R323" i="29"/>
  <c r="R322" i="29"/>
  <c r="R321" i="29"/>
  <c r="R320" i="29"/>
  <c r="R319" i="29"/>
  <c r="R318" i="29"/>
  <c r="R317" i="29"/>
  <c r="R316" i="29"/>
  <c r="R315" i="29"/>
  <c r="R314" i="29"/>
  <c r="R313" i="29"/>
  <c r="R312" i="29"/>
  <c r="R311" i="29"/>
  <c r="R310" i="29"/>
  <c r="R309" i="29"/>
  <c r="R308" i="29"/>
  <c r="R307" i="29"/>
  <c r="R306" i="29"/>
  <c r="R305" i="29"/>
  <c r="R304" i="29"/>
  <c r="R303" i="29"/>
  <c r="R302" i="29"/>
  <c r="R301" i="29"/>
  <c r="R300" i="29"/>
  <c r="R299" i="29"/>
  <c r="R298" i="29"/>
  <c r="R297" i="29"/>
  <c r="R296" i="29"/>
  <c r="R295" i="29"/>
  <c r="R294" i="29"/>
  <c r="R293" i="29"/>
  <c r="R292" i="29"/>
  <c r="R291" i="29"/>
  <c r="R290" i="29"/>
  <c r="R289" i="29"/>
  <c r="R288" i="29"/>
  <c r="R287" i="29"/>
  <c r="R286" i="29"/>
  <c r="R285" i="29"/>
  <c r="R284" i="29"/>
  <c r="R283" i="29"/>
  <c r="R282" i="29"/>
  <c r="R281" i="29"/>
  <c r="R280" i="29"/>
  <c r="R279" i="29"/>
  <c r="R278" i="29"/>
  <c r="R277" i="29"/>
  <c r="R276" i="29"/>
  <c r="R275" i="29"/>
  <c r="R274" i="29"/>
  <c r="R273" i="29"/>
  <c r="R272" i="29"/>
  <c r="R271" i="29"/>
  <c r="R270" i="29"/>
  <c r="R269" i="29"/>
  <c r="R268" i="29"/>
  <c r="R267" i="29"/>
  <c r="R266" i="29"/>
  <c r="R265" i="29"/>
  <c r="R264" i="29"/>
  <c r="R263" i="29"/>
  <c r="R262" i="29"/>
  <c r="R261" i="29"/>
  <c r="R260" i="29"/>
  <c r="R259" i="29"/>
  <c r="R258" i="29"/>
  <c r="R257" i="29"/>
  <c r="R256" i="29"/>
  <c r="R255" i="29"/>
  <c r="R254" i="29"/>
  <c r="R253" i="29"/>
  <c r="R252" i="29"/>
  <c r="R251" i="29"/>
  <c r="R250" i="29"/>
  <c r="R249" i="29"/>
  <c r="R248" i="29"/>
  <c r="R247" i="29"/>
  <c r="R246" i="29"/>
  <c r="R245" i="29"/>
  <c r="R244" i="29"/>
  <c r="R243" i="29"/>
  <c r="R242" i="29"/>
  <c r="R241" i="29"/>
  <c r="R240" i="29"/>
  <c r="R239" i="29"/>
  <c r="R238" i="29"/>
  <c r="R237" i="29"/>
  <c r="R236" i="29"/>
  <c r="R235" i="29"/>
  <c r="R234" i="29"/>
  <c r="R233" i="29"/>
  <c r="R232" i="29"/>
  <c r="R231" i="29"/>
  <c r="R230" i="29"/>
  <c r="R229" i="29"/>
  <c r="R228" i="29"/>
  <c r="R227" i="29"/>
  <c r="R226" i="29"/>
  <c r="R225" i="29"/>
  <c r="R224" i="29"/>
  <c r="R223" i="29"/>
  <c r="R222" i="29"/>
  <c r="R221" i="29"/>
  <c r="R220" i="29"/>
  <c r="R219" i="29"/>
  <c r="R218" i="29"/>
  <c r="R217" i="29"/>
  <c r="R216" i="29"/>
  <c r="R215" i="29"/>
  <c r="R214" i="29"/>
  <c r="R213" i="29"/>
  <c r="R212" i="29"/>
  <c r="R211" i="29"/>
  <c r="R210" i="29"/>
  <c r="R209" i="29"/>
  <c r="R208" i="29"/>
  <c r="R207" i="29"/>
  <c r="R206" i="29"/>
  <c r="R205" i="29"/>
  <c r="R204" i="29"/>
  <c r="R203" i="29"/>
  <c r="R202" i="29"/>
  <c r="R201" i="29"/>
  <c r="R200" i="29"/>
  <c r="R199" i="29"/>
  <c r="R198" i="29"/>
  <c r="R197" i="29"/>
  <c r="R196" i="29"/>
  <c r="R195" i="29"/>
  <c r="R194" i="29"/>
  <c r="R193" i="29"/>
  <c r="R192" i="29"/>
  <c r="R191" i="29"/>
  <c r="R190" i="29"/>
  <c r="R189" i="29"/>
  <c r="R188" i="29"/>
  <c r="R187" i="29"/>
  <c r="R186" i="29"/>
  <c r="R185" i="29"/>
  <c r="R184" i="29"/>
  <c r="R183" i="29"/>
  <c r="R182" i="29"/>
  <c r="R181" i="29"/>
  <c r="R180" i="29"/>
  <c r="R179" i="29"/>
  <c r="R178" i="29"/>
  <c r="R177" i="29"/>
  <c r="R176" i="29"/>
  <c r="R175" i="29"/>
  <c r="R174" i="29"/>
  <c r="R173" i="29"/>
  <c r="R172" i="29"/>
  <c r="R171" i="29"/>
  <c r="R170" i="29"/>
  <c r="R169" i="29"/>
  <c r="R168" i="29"/>
  <c r="R167" i="29"/>
  <c r="R166" i="29"/>
  <c r="R165" i="29"/>
  <c r="R164" i="29"/>
  <c r="R163" i="29"/>
  <c r="R162" i="29"/>
  <c r="R161" i="29"/>
  <c r="R160" i="29"/>
  <c r="R159" i="29"/>
  <c r="R158" i="29"/>
  <c r="R157" i="29"/>
  <c r="R156" i="29"/>
  <c r="R155" i="29"/>
  <c r="R154" i="29"/>
  <c r="R153" i="29"/>
  <c r="R152" i="29"/>
  <c r="R151" i="29"/>
  <c r="R150" i="29"/>
  <c r="R149" i="29"/>
  <c r="R148" i="29"/>
  <c r="R147" i="29"/>
  <c r="R146" i="29"/>
  <c r="R145" i="29"/>
  <c r="R144" i="29"/>
  <c r="R143" i="29"/>
  <c r="R142" i="29"/>
  <c r="R141" i="29"/>
  <c r="R140" i="29"/>
  <c r="R139" i="29"/>
  <c r="R138" i="29"/>
  <c r="R137" i="29"/>
  <c r="R136" i="29"/>
  <c r="R135" i="29"/>
  <c r="R134" i="29"/>
  <c r="R133" i="29"/>
  <c r="R132" i="29"/>
  <c r="R131" i="29"/>
  <c r="R130" i="29"/>
  <c r="R129" i="29"/>
  <c r="R128" i="29"/>
  <c r="R127" i="29"/>
  <c r="R126" i="29"/>
  <c r="R125" i="29"/>
  <c r="R124" i="29"/>
  <c r="R123" i="29"/>
  <c r="R122" i="29"/>
  <c r="R121" i="29"/>
  <c r="R120" i="29"/>
  <c r="R119" i="29"/>
  <c r="R118" i="29"/>
  <c r="R117" i="29"/>
  <c r="R116" i="29"/>
  <c r="R115" i="29"/>
  <c r="R114" i="29"/>
  <c r="R113" i="29"/>
  <c r="R112" i="29"/>
  <c r="R111" i="29"/>
  <c r="R110" i="29"/>
  <c r="R109" i="29"/>
  <c r="R108" i="29"/>
  <c r="R107" i="29"/>
  <c r="R106" i="29"/>
  <c r="R105" i="29"/>
  <c r="R104" i="29"/>
  <c r="R103" i="29"/>
  <c r="R102" i="29"/>
  <c r="R101" i="29"/>
  <c r="R100" i="29"/>
  <c r="R99" i="29"/>
  <c r="R98" i="29"/>
  <c r="R97" i="29"/>
  <c r="R96" i="29"/>
  <c r="R95" i="29"/>
  <c r="R94" i="29"/>
  <c r="R93" i="29"/>
  <c r="R92" i="29"/>
  <c r="R91" i="29"/>
  <c r="R90" i="29"/>
  <c r="R89" i="29"/>
  <c r="R88" i="29"/>
  <c r="R87" i="29"/>
  <c r="R86" i="29"/>
  <c r="R85" i="29"/>
  <c r="R84" i="29"/>
  <c r="R83" i="29"/>
  <c r="R82" i="29"/>
  <c r="R81" i="29"/>
  <c r="R80" i="29"/>
  <c r="R79" i="29"/>
  <c r="R78" i="29"/>
  <c r="R77" i="29"/>
  <c r="R76" i="29"/>
  <c r="R75" i="29"/>
  <c r="R74" i="29"/>
  <c r="R73" i="29"/>
  <c r="R72" i="29"/>
  <c r="R71" i="29"/>
  <c r="R70" i="29"/>
  <c r="R69" i="29"/>
  <c r="R68" i="29"/>
  <c r="R67" i="29"/>
  <c r="R66" i="29"/>
  <c r="R65" i="29"/>
  <c r="R64" i="29"/>
  <c r="R63" i="29"/>
  <c r="R62" i="29"/>
  <c r="R61" i="29"/>
  <c r="R60" i="29"/>
  <c r="R59" i="29"/>
  <c r="R58" i="29"/>
  <c r="R57" i="29"/>
  <c r="R56" i="29"/>
  <c r="R55" i="29"/>
  <c r="R54" i="29"/>
  <c r="R53" i="29"/>
  <c r="R52" i="29"/>
  <c r="R51" i="29"/>
  <c r="R50" i="29"/>
  <c r="R49" i="29"/>
  <c r="R48" i="29"/>
  <c r="R47" i="29"/>
  <c r="R46" i="29"/>
  <c r="R45" i="29"/>
  <c r="R44" i="29"/>
  <c r="R43" i="29"/>
  <c r="R42" i="29"/>
  <c r="R41" i="29"/>
  <c r="R40" i="29"/>
  <c r="R39" i="29"/>
  <c r="R38" i="29"/>
  <c r="R37" i="29"/>
  <c r="R36" i="29"/>
  <c r="R35" i="29"/>
  <c r="R34" i="29"/>
  <c r="R33" i="29"/>
  <c r="R32" i="29"/>
  <c r="R31" i="29"/>
  <c r="R30" i="29"/>
  <c r="R29" i="29"/>
  <c r="R28" i="29"/>
  <c r="R27" i="29"/>
  <c r="R26" i="29"/>
  <c r="R25" i="29"/>
  <c r="R24" i="29"/>
  <c r="R23" i="29"/>
  <c r="R22" i="29"/>
  <c r="R21" i="29"/>
  <c r="R20" i="29"/>
  <c r="R19" i="29"/>
  <c r="R18" i="29"/>
  <c r="R17" i="29"/>
  <c r="R16" i="29"/>
  <c r="R15" i="29"/>
  <c r="R14" i="29"/>
  <c r="R13" i="29"/>
  <c r="R12" i="29"/>
  <c r="R11" i="29"/>
  <c r="R10" i="29"/>
  <c r="R9" i="29"/>
  <c r="R8" i="29"/>
  <c r="R7" i="29"/>
  <c r="R6" i="29"/>
  <c r="R5" i="29"/>
  <c r="N650" i="29"/>
  <c r="N649" i="29"/>
  <c r="N648" i="29"/>
  <c r="N647" i="29"/>
  <c r="N646" i="29"/>
  <c r="N645" i="29"/>
  <c r="N644" i="29"/>
  <c r="N643" i="29"/>
  <c r="N642" i="29"/>
  <c r="N641" i="29"/>
  <c r="N640" i="29"/>
  <c r="N639" i="29"/>
  <c r="N638" i="29"/>
  <c r="N637" i="29"/>
  <c r="N636" i="29"/>
  <c r="N635" i="29"/>
  <c r="N634" i="29"/>
  <c r="N633" i="29"/>
  <c r="N632" i="29"/>
  <c r="N631" i="29"/>
  <c r="N630" i="29"/>
  <c r="N629" i="29"/>
  <c r="N628" i="29"/>
  <c r="N627" i="29"/>
  <c r="N626" i="29"/>
  <c r="N625" i="29"/>
  <c r="N624" i="29"/>
  <c r="N623" i="29"/>
  <c r="N622" i="29"/>
  <c r="N621" i="29"/>
  <c r="N620" i="29"/>
  <c r="N619" i="29"/>
  <c r="N618" i="29"/>
  <c r="N617" i="29"/>
  <c r="N616" i="29"/>
  <c r="N615" i="29"/>
  <c r="N614" i="29"/>
  <c r="N613" i="29"/>
  <c r="N612" i="29"/>
  <c r="N611" i="29"/>
  <c r="N610" i="29"/>
  <c r="N609" i="29"/>
  <c r="N608" i="29"/>
  <c r="N607" i="29"/>
  <c r="N606" i="29"/>
  <c r="N605" i="29"/>
  <c r="N604" i="29"/>
  <c r="N603" i="29"/>
  <c r="N602" i="29"/>
  <c r="N601" i="29"/>
  <c r="N600" i="29"/>
  <c r="N599" i="29"/>
  <c r="N598" i="29"/>
  <c r="N597" i="29"/>
  <c r="N596" i="29"/>
  <c r="N595" i="29"/>
  <c r="N594" i="29"/>
  <c r="N593" i="29"/>
  <c r="N592" i="29"/>
  <c r="N591" i="29"/>
  <c r="N590" i="29"/>
  <c r="N589" i="29"/>
  <c r="N588" i="29"/>
  <c r="N587" i="29"/>
  <c r="N586" i="29"/>
  <c r="N585" i="29"/>
  <c r="N584" i="29"/>
  <c r="N583" i="29"/>
  <c r="N582" i="29"/>
  <c r="N581" i="29"/>
  <c r="N580" i="29"/>
  <c r="N579" i="29"/>
  <c r="N578" i="29"/>
  <c r="N577" i="29"/>
  <c r="N576" i="29"/>
  <c r="N575" i="29"/>
  <c r="N574" i="29"/>
  <c r="N573" i="29"/>
  <c r="N572" i="29"/>
  <c r="N571" i="29"/>
  <c r="N570" i="29"/>
  <c r="N569" i="29"/>
  <c r="N568" i="29"/>
  <c r="N567" i="29"/>
  <c r="N566" i="29"/>
  <c r="N565" i="29"/>
  <c r="N564" i="29"/>
  <c r="N563" i="29"/>
  <c r="N562" i="29"/>
  <c r="N561" i="29"/>
  <c r="N560" i="29"/>
  <c r="N559" i="29"/>
  <c r="N558" i="29"/>
  <c r="N557" i="29"/>
  <c r="N556" i="29"/>
  <c r="N555" i="29"/>
  <c r="N554" i="29"/>
  <c r="N553" i="29"/>
  <c r="N552" i="29"/>
  <c r="N551" i="29"/>
  <c r="N550" i="29"/>
  <c r="N549" i="29"/>
  <c r="N548" i="29"/>
  <c r="N547" i="29"/>
  <c r="N546" i="29"/>
  <c r="N545" i="29"/>
  <c r="N544" i="29"/>
  <c r="N543" i="29"/>
  <c r="N542" i="29"/>
  <c r="N541" i="29"/>
  <c r="N540" i="29"/>
  <c r="N539" i="29"/>
  <c r="N538" i="29"/>
  <c r="N537" i="29"/>
  <c r="N536" i="29"/>
  <c r="N535" i="29"/>
  <c r="N534" i="29"/>
  <c r="N533" i="29"/>
  <c r="N532" i="29"/>
  <c r="N531" i="29"/>
  <c r="N530" i="29"/>
  <c r="N529" i="29"/>
  <c r="N528" i="29"/>
  <c r="N527" i="29"/>
  <c r="N526" i="29"/>
  <c r="N525" i="29"/>
  <c r="N524" i="29"/>
  <c r="N523" i="29"/>
  <c r="N522" i="29"/>
  <c r="N521" i="29"/>
  <c r="N520" i="29"/>
  <c r="N519" i="29"/>
  <c r="N518" i="29"/>
  <c r="N517" i="29"/>
  <c r="N516" i="29"/>
  <c r="N515" i="29"/>
  <c r="N514" i="29"/>
  <c r="N513" i="29"/>
  <c r="N512" i="29"/>
  <c r="N511" i="29"/>
  <c r="N510" i="29"/>
  <c r="N509" i="29"/>
  <c r="N508" i="29"/>
  <c r="N507" i="29"/>
  <c r="N506" i="29"/>
  <c r="N505" i="29"/>
  <c r="N504" i="29"/>
  <c r="N503" i="29"/>
  <c r="N502" i="29"/>
  <c r="N501" i="29"/>
  <c r="N500" i="29"/>
  <c r="N499" i="29"/>
  <c r="N498" i="29"/>
  <c r="N497" i="29"/>
  <c r="N496" i="29"/>
  <c r="N495" i="29"/>
  <c r="N494" i="29"/>
  <c r="N493" i="29"/>
  <c r="N492" i="29"/>
  <c r="N491" i="29"/>
  <c r="N490" i="29"/>
  <c r="N489" i="29"/>
  <c r="N488" i="29"/>
  <c r="N487" i="29"/>
  <c r="N486" i="29"/>
  <c r="N485" i="29"/>
  <c r="N484" i="29"/>
  <c r="N483" i="29"/>
  <c r="N482" i="29"/>
  <c r="N481" i="29"/>
  <c r="N480" i="29"/>
  <c r="N479" i="29"/>
  <c r="N478" i="29"/>
  <c r="N477" i="29"/>
  <c r="N476" i="29"/>
  <c r="N475" i="29"/>
  <c r="N474" i="29"/>
  <c r="N473" i="29"/>
  <c r="N472" i="29"/>
  <c r="N471" i="29"/>
  <c r="N470" i="29"/>
  <c r="N469" i="29"/>
  <c r="N468" i="29"/>
  <c r="N467" i="29"/>
  <c r="N466" i="29"/>
  <c r="N465" i="29"/>
  <c r="N464" i="29"/>
  <c r="N463" i="29"/>
  <c r="N462" i="29"/>
  <c r="N461" i="29"/>
  <c r="N460" i="29"/>
  <c r="N459" i="29"/>
  <c r="N458" i="29"/>
  <c r="N457" i="29"/>
  <c r="N456" i="29"/>
  <c r="N455" i="29"/>
  <c r="N454" i="29"/>
  <c r="N453" i="29"/>
  <c r="N452" i="29"/>
  <c r="N451" i="29"/>
  <c r="N450" i="29"/>
  <c r="N449" i="29"/>
  <c r="N448" i="29"/>
  <c r="N447" i="29"/>
  <c r="N446" i="29"/>
  <c r="N445" i="29"/>
  <c r="N444" i="29"/>
  <c r="N443" i="29"/>
  <c r="N442" i="29"/>
  <c r="N441" i="29"/>
  <c r="N440" i="29"/>
  <c r="N439" i="29"/>
  <c r="N438" i="29"/>
  <c r="N437" i="29"/>
  <c r="N436" i="29"/>
  <c r="N435" i="29"/>
  <c r="N434" i="29"/>
  <c r="N433" i="29"/>
  <c r="N432" i="29"/>
  <c r="N431" i="29"/>
  <c r="N430" i="29"/>
  <c r="N429" i="29"/>
  <c r="N428" i="29"/>
  <c r="N427" i="29"/>
  <c r="N426" i="29"/>
  <c r="N425" i="29"/>
  <c r="N424" i="29"/>
  <c r="N423" i="29"/>
  <c r="N422" i="29"/>
  <c r="N421" i="29"/>
  <c r="N420" i="29"/>
  <c r="N419" i="29"/>
  <c r="N418" i="29"/>
  <c r="N417" i="29"/>
  <c r="N416" i="29"/>
  <c r="N415" i="29"/>
  <c r="N414" i="29"/>
  <c r="N413" i="29"/>
  <c r="N412" i="29"/>
  <c r="N411" i="29"/>
  <c r="N410" i="29"/>
  <c r="N409" i="29"/>
  <c r="N408" i="29"/>
  <c r="N407" i="29"/>
  <c r="N406" i="29"/>
  <c r="N405" i="29"/>
  <c r="N404" i="29"/>
  <c r="N403" i="29"/>
  <c r="N402" i="29"/>
  <c r="N401" i="29"/>
  <c r="N400" i="29"/>
  <c r="N399" i="29"/>
  <c r="N398" i="29"/>
  <c r="N397" i="29"/>
  <c r="N396" i="29"/>
  <c r="N395" i="29"/>
  <c r="N394" i="29"/>
  <c r="N393" i="29"/>
  <c r="N392" i="29"/>
  <c r="N391" i="29"/>
  <c r="N390" i="29"/>
  <c r="N389" i="29"/>
  <c r="N388" i="29"/>
  <c r="N387" i="29"/>
  <c r="N386" i="29"/>
  <c r="N385" i="29"/>
  <c r="N384" i="29"/>
  <c r="N383" i="29"/>
  <c r="N382" i="29"/>
  <c r="N381" i="29"/>
  <c r="N380" i="29"/>
  <c r="N379" i="29"/>
  <c r="N377" i="29"/>
  <c r="N376" i="29"/>
  <c r="N375" i="29"/>
  <c r="N374" i="29"/>
  <c r="N373" i="29"/>
  <c r="N372" i="29"/>
  <c r="N371" i="29"/>
  <c r="N370" i="29"/>
  <c r="N369" i="29"/>
  <c r="N368" i="29"/>
  <c r="N367" i="29"/>
  <c r="N366" i="29"/>
  <c r="N365" i="29"/>
  <c r="N364" i="29"/>
  <c r="N363" i="29"/>
  <c r="N362" i="29"/>
  <c r="N361" i="29"/>
  <c r="N360" i="29"/>
  <c r="N359" i="29"/>
  <c r="N358" i="29"/>
  <c r="N357" i="29"/>
  <c r="N356" i="29"/>
  <c r="N355" i="29"/>
  <c r="N354" i="29"/>
  <c r="N353" i="29"/>
  <c r="N352" i="29"/>
  <c r="N351" i="29"/>
  <c r="N350" i="29"/>
  <c r="N349" i="29"/>
  <c r="N348" i="29"/>
  <c r="N347" i="29"/>
  <c r="N346" i="29"/>
  <c r="N345" i="29"/>
  <c r="N344" i="29"/>
  <c r="N343" i="29"/>
  <c r="N342" i="29"/>
  <c r="N341" i="29"/>
  <c r="N340" i="29"/>
  <c r="N339" i="29"/>
  <c r="N338" i="29"/>
  <c r="N337" i="29"/>
  <c r="N336" i="29"/>
  <c r="N335" i="29"/>
  <c r="N334" i="29"/>
  <c r="N333" i="29"/>
  <c r="N332" i="29"/>
  <c r="N331" i="29"/>
  <c r="N330" i="29"/>
  <c r="N329" i="29"/>
  <c r="N328" i="29"/>
  <c r="N327" i="29"/>
  <c r="N326" i="29"/>
  <c r="N325" i="29"/>
  <c r="N324" i="29"/>
  <c r="N323" i="29"/>
  <c r="N322" i="29"/>
  <c r="N321" i="29"/>
  <c r="N320" i="29"/>
  <c r="N319" i="29"/>
  <c r="N318" i="29"/>
  <c r="N317" i="29"/>
  <c r="N316" i="29"/>
  <c r="N315" i="29"/>
  <c r="N314" i="29"/>
  <c r="N313" i="29"/>
  <c r="N312" i="29"/>
  <c r="N311" i="29"/>
  <c r="N310" i="29"/>
  <c r="N309" i="29"/>
  <c r="N308" i="29"/>
  <c r="N307" i="29"/>
  <c r="N306" i="29"/>
  <c r="N305" i="29"/>
  <c r="N304" i="29"/>
  <c r="N303" i="29"/>
  <c r="N302" i="29"/>
  <c r="N301" i="29"/>
  <c r="N300" i="29"/>
  <c r="N299" i="29"/>
  <c r="N298" i="29"/>
  <c r="N297" i="29"/>
  <c r="N296" i="29"/>
  <c r="N295" i="29"/>
  <c r="N294" i="29"/>
  <c r="N293" i="29"/>
  <c r="N292" i="29"/>
  <c r="N291" i="29"/>
  <c r="N290" i="29"/>
  <c r="N289" i="29"/>
  <c r="N288" i="29"/>
  <c r="N287" i="29"/>
  <c r="N286" i="29"/>
  <c r="N285" i="29"/>
  <c r="N284" i="29"/>
  <c r="N283" i="29"/>
  <c r="N282" i="29"/>
  <c r="N281" i="29"/>
  <c r="N280" i="29"/>
  <c r="N279" i="29"/>
  <c r="N278" i="29"/>
  <c r="N277" i="29"/>
  <c r="N276" i="29"/>
  <c r="N275" i="29"/>
  <c r="N274" i="29"/>
  <c r="N273" i="29"/>
  <c r="N272" i="29"/>
  <c r="N271" i="29"/>
  <c r="N270" i="29"/>
  <c r="N269" i="29"/>
  <c r="N268" i="29"/>
  <c r="N267" i="29"/>
  <c r="N266" i="29"/>
  <c r="N265" i="29"/>
  <c r="N264" i="29"/>
  <c r="N263" i="29"/>
  <c r="N262" i="29"/>
  <c r="N261" i="29"/>
  <c r="N260" i="29"/>
  <c r="N259" i="29"/>
  <c r="N258" i="29"/>
  <c r="N257" i="29"/>
  <c r="N256" i="29"/>
  <c r="N255" i="29"/>
  <c r="N254" i="29"/>
  <c r="N253" i="29"/>
  <c r="N252" i="29"/>
  <c r="N251" i="29"/>
  <c r="N250" i="29"/>
  <c r="N249" i="29"/>
  <c r="N248" i="29"/>
  <c r="N247" i="29"/>
  <c r="N246" i="29"/>
  <c r="N245" i="29"/>
  <c r="N244" i="29"/>
  <c r="N243" i="29"/>
  <c r="N242" i="29"/>
  <c r="N241" i="29"/>
  <c r="N240" i="29"/>
  <c r="N239" i="29"/>
  <c r="N238" i="29"/>
  <c r="N237" i="29"/>
  <c r="N236" i="29"/>
  <c r="N235" i="29"/>
  <c r="N234" i="29"/>
  <c r="N233" i="29"/>
  <c r="N232" i="29"/>
  <c r="N231" i="29"/>
  <c r="N230" i="29"/>
  <c r="N229" i="29"/>
  <c r="N228" i="29"/>
  <c r="N227" i="29"/>
  <c r="N226" i="29"/>
  <c r="N225" i="29"/>
  <c r="N224" i="29"/>
  <c r="N223" i="29"/>
  <c r="N222" i="29"/>
  <c r="N221" i="29"/>
  <c r="N220" i="29"/>
  <c r="N219" i="29"/>
  <c r="N218" i="29"/>
  <c r="N217" i="29"/>
  <c r="N216" i="29"/>
  <c r="N215" i="29"/>
  <c r="N214" i="29"/>
  <c r="N213" i="29"/>
  <c r="N212" i="29"/>
  <c r="N211" i="29"/>
  <c r="N210" i="29"/>
  <c r="N209" i="29"/>
  <c r="N208" i="29"/>
  <c r="N207" i="29"/>
  <c r="N206" i="29"/>
  <c r="N205" i="29"/>
  <c r="N204" i="29"/>
  <c r="N203" i="29"/>
  <c r="N202" i="29"/>
  <c r="N201" i="29"/>
  <c r="N200" i="29"/>
  <c r="N199" i="29"/>
  <c r="N198" i="29"/>
  <c r="N197" i="29"/>
  <c r="N196" i="29"/>
  <c r="N195" i="29"/>
  <c r="N194" i="29"/>
  <c r="N193" i="29"/>
  <c r="N192" i="29"/>
  <c r="N191" i="29"/>
  <c r="N190" i="29"/>
  <c r="N189" i="29"/>
  <c r="N188" i="29"/>
  <c r="N187" i="29"/>
  <c r="N186" i="29"/>
  <c r="N185" i="29"/>
  <c r="N184" i="29"/>
  <c r="N183" i="29"/>
  <c r="N182" i="29"/>
  <c r="N181" i="29"/>
  <c r="N180" i="29"/>
  <c r="N179" i="29"/>
  <c r="N178" i="29"/>
  <c r="N177" i="29"/>
  <c r="N176" i="29"/>
  <c r="N175" i="29"/>
  <c r="N174" i="29"/>
  <c r="N173" i="29"/>
  <c r="N172" i="29"/>
  <c r="N171" i="29"/>
  <c r="N170" i="29"/>
  <c r="N169" i="29"/>
  <c r="N168" i="29"/>
  <c r="N167" i="29"/>
  <c r="N166" i="29"/>
  <c r="N165" i="29"/>
  <c r="N164" i="29"/>
  <c r="N163" i="29"/>
  <c r="N162" i="29"/>
  <c r="N161" i="29"/>
  <c r="N160" i="29"/>
  <c r="N159" i="29"/>
  <c r="N158" i="29"/>
  <c r="N157" i="29"/>
  <c r="N156" i="29"/>
  <c r="N155" i="29"/>
  <c r="N154" i="29"/>
  <c r="N153" i="29"/>
  <c r="N152" i="29"/>
  <c r="N151" i="29"/>
  <c r="N150" i="29"/>
  <c r="N149" i="29"/>
  <c r="N148" i="29"/>
  <c r="N147" i="29"/>
  <c r="N146" i="29"/>
  <c r="N145" i="29"/>
  <c r="N144" i="29"/>
  <c r="N143" i="29"/>
  <c r="N142" i="29"/>
  <c r="N141" i="29"/>
  <c r="N140" i="29"/>
  <c r="N139" i="29"/>
  <c r="N138" i="29"/>
  <c r="N137" i="29"/>
  <c r="N136" i="29"/>
  <c r="N135" i="29"/>
  <c r="N134" i="29"/>
  <c r="N133" i="29"/>
  <c r="N132" i="29"/>
  <c r="N131" i="29"/>
  <c r="N130" i="29"/>
  <c r="N129" i="29"/>
  <c r="N128" i="29"/>
  <c r="N127" i="29"/>
  <c r="N126" i="29"/>
  <c r="N125" i="29"/>
  <c r="N124" i="29"/>
  <c r="N123" i="29"/>
  <c r="N122" i="29"/>
  <c r="N121" i="29"/>
  <c r="N120" i="29"/>
  <c r="N119" i="29"/>
  <c r="N118" i="29"/>
  <c r="N117" i="29"/>
  <c r="N116" i="29"/>
  <c r="N115" i="29"/>
  <c r="N114" i="29"/>
  <c r="N113" i="29"/>
  <c r="N112" i="29"/>
  <c r="N111" i="29"/>
  <c r="N110" i="29"/>
  <c r="N109" i="29"/>
  <c r="N108" i="29"/>
  <c r="N107" i="29"/>
  <c r="N106" i="29"/>
  <c r="N105" i="29"/>
  <c r="N104" i="29"/>
  <c r="N103" i="29"/>
  <c r="N102" i="29"/>
  <c r="N101" i="29"/>
  <c r="N100" i="29"/>
  <c r="N99" i="29"/>
  <c r="N98" i="29"/>
  <c r="N97" i="29"/>
  <c r="N96" i="29"/>
  <c r="N95" i="29"/>
  <c r="N94" i="29"/>
  <c r="N93" i="29"/>
  <c r="N92" i="29"/>
  <c r="N91" i="29"/>
  <c r="N90" i="29"/>
  <c r="N89" i="29"/>
  <c r="N88" i="29"/>
  <c r="N87" i="29"/>
  <c r="N86" i="29"/>
  <c r="N85" i="29"/>
  <c r="N84" i="29"/>
  <c r="N83" i="29"/>
  <c r="N82" i="29"/>
  <c r="N81" i="29"/>
  <c r="N80" i="29"/>
  <c r="N79" i="29"/>
  <c r="N78" i="29"/>
  <c r="N77" i="29"/>
  <c r="N76" i="29"/>
  <c r="N75" i="29"/>
  <c r="N74" i="29"/>
  <c r="N73" i="29"/>
  <c r="N72" i="29"/>
  <c r="N71" i="29"/>
  <c r="N70" i="29"/>
  <c r="N69" i="29"/>
  <c r="N68" i="29"/>
  <c r="N67" i="29"/>
  <c r="N66" i="29"/>
  <c r="N65" i="29"/>
  <c r="N64" i="29"/>
  <c r="N63" i="29"/>
  <c r="N62" i="29"/>
  <c r="N61" i="29"/>
  <c r="N60" i="29"/>
  <c r="N59" i="29"/>
  <c r="N58" i="29"/>
  <c r="N57" i="29"/>
  <c r="N56" i="29"/>
  <c r="N55" i="29"/>
  <c r="N54" i="29"/>
  <c r="N53" i="29"/>
  <c r="N52" i="29"/>
  <c r="N51" i="29"/>
  <c r="N50" i="29"/>
  <c r="N49" i="29"/>
  <c r="N48" i="29"/>
  <c r="N47" i="29"/>
  <c r="N46" i="29"/>
  <c r="N45" i="29"/>
  <c r="N44" i="29"/>
  <c r="N43" i="29"/>
  <c r="N42" i="29"/>
  <c r="N41" i="29"/>
  <c r="N40" i="29"/>
  <c r="N39" i="29"/>
  <c r="N38" i="29"/>
  <c r="N37" i="29"/>
  <c r="N36" i="29"/>
  <c r="N35" i="29"/>
  <c r="N34" i="29"/>
  <c r="N33" i="29"/>
  <c r="N32" i="29"/>
  <c r="N31" i="29"/>
  <c r="N30" i="29"/>
  <c r="N29" i="29"/>
  <c r="N28" i="29"/>
  <c r="N27" i="29"/>
  <c r="N26" i="29"/>
  <c r="N25" i="29"/>
  <c r="N24" i="29"/>
  <c r="N23" i="29"/>
  <c r="N22" i="29"/>
  <c r="N21" i="29"/>
  <c r="N20" i="29"/>
  <c r="N19" i="29"/>
  <c r="N18" i="29"/>
  <c r="N17" i="29"/>
  <c r="N16" i="29"/>
  <c r="N15" i="29"/>
  <c r="N14" i="29"/>
  <c r="N13" i="29"/>
  <c r="N12" i="29"/>
  <c r="N11" i="29"/>
  <c r="N10" i="29"/>
  <c r="N9" i="29"/>
  <c r="N8" i="29"/>
  <c r="N7" i="29"/>
  <c r="N6" i="29"/>
  <c r="N5" i="29"/>
  <c r="N4" i="29"/>
  <c r="N3" i="29"/>
  <c r="N2" i="29"/>
  <c r="J80" i="17"/>
  <c r="N80" i="17" s="1"/>
  <c r="P8" i="21"/>
  <c r="N76" i="17"/>
  <c r="N74" i="17"/>
  <c r="N73" i="17"/>
  <c r="N70" i="17"/>
  <c r="P82" i="17" l="1"/>
  <c r="J96" i="17"/>
  <c r="N96" i="17" s="1"/>
  <c r="N54" i="21"/>
  <c r="N20" i="21"/>
  <c r="N24" i="21" s="1"/>
  <c r="N29" i="21" s="1"/>
  <c r="P50" i="21"/>
  <c r="P38" i="21"/>
  <c r="P44" i="21"/>
  <c r="N68" i="17"/>
  <c r="T6" i="29"/>
  <c r="T7" i="29"/>
  <c r="T8" i="29"/>
  <c r="T9" i="29"/>
  <c r="T10" i="29"/>
  <c r="T11" i="29"/>
  <c r="T12" i="29"/>
  <c r="T13" i="29"/>
  <c r="T14" i="29"/>
  <c r="T15" i="29"/>
  <c r="T16" i="29"/>
  <c r="T17" i="29"/>
  <c r="T18" i="29"/>
  <c r="T19" i="29"/>
  <c r="T20" i="29"/>
  <c r="T21" i="29"/>
  <c r="T22" i="29"/>
  <c r="T23" i="29"/>
  <c r="T24" i="29"/>
  <c r="T25" i="29"/>
  <c r="T26" i="29"/>
  <c r="T27" i="29"/>
  <c r="T28" i="29"/>
  <c r="T29" i="29"/>
  <c r="T30" i="29"/>
  <c r="T31" i="29"/>
  <c r="T32" i="29"/>
  <c r="T33" i="29"/>
  <c r="T34" i="29"/>
  <c r="T35" i="29"/>
  <c r="T36" i="29"/>
  <c r="T37" i="29"/>
  <c r="T38" i="29"/>
  <c r="T39" i="29"/>
  <c r="T40" i="29"/>
  <c r="T41" i="29"/>
  <c r="T42" i="29"/>
  <c r="T43" i="29"/>
  <c r="T44" i="29"/>
  <c r="T45" i="29"/>
  <c r="T46" i="29"/>
  <c r="T47" i="29"/>
  <c r="T48" i="29"/>
  <c r="T49" i="29"/>
  <c r="T50" i="29"/>
  <c r="T51" i="29"/>
  <c r="T52" i="29"/>
  <c r="T53" i="29"/>
  <c r="T54" i="29"/>
  <c r="T55" i="29"/>
  <c r="T56" i="29"/>
  <c r="T57" i="29"/>
  <c r="T58" i="29"/>
  <c r="T59" i="29"/>
  <c r="T60" i="29"/>
  <c r="T61" i="29"/>
  <c r="T62" i="29"/>
  <c r="T63" i="29"/>
  <c r="T64" i="29"/>
  <c r="T65" i="29"/>
  <c r="T66" i="29"/>
  <c r="T67" i="29"/>
  <c r="T68" i="29"/>
  <c r="T69" i="29"/>
  <c r="T70" i="29"/>
  <c r="T71" i="29"/>
  <c r="T72" i="29"/>
  <c r="T73" i="29"/>
  <c r="T74" i="29"/>
  <c r="T75" i="29"/>
  <c r="T76" i="29"/>
  <c r="T77" i="29"/>
  <c r="T78" i="29"/>
  <c r="T79" i="29"/>
  <c r="T80" i="29"/>
  <c r="T81" i="29"/>
  <c r="T82" i="29"/>
  <c r="T83" i="29"/>
  <c r="T84" i="29"/>
  <c r="T85" i="29"/>
  <c r="T86" i="29"/>
  <c r="T87" i="29"/>
  <c r="T88" i="29"/>
  <c r="T89" i="29"/>
  <c r="T90" i="29"/>
  <c r="T91" i="29"/>
  <c r="T92" i="29"/>
  <c r="T93" i="29"/>
  <c r="T94" i="29"/>
  <c r="T95" i="29"/>
  <c r="T96" i="29"/>
  <c r="T97" i="29"/>
  <c r="T98" i="29"/>
  <c r="T99" i="29"/>
  <c r="T100" i="29"/>
  <c r="T101" i="29"/>
  <c r="T102" i="29"/>
  <c r="T103" i="29"/>
  <c r="T104" i="29"/>
  <c r="T105" i="29"/>
  <c r="T106" i="29"/>
  <c r="T107" i="29"/>
  <c r="T108" i="29"/>
  <c r="T109" i="29"/>
  <c r="T110" i="29"/>
  <c r="T111" i="29"/>
  <c r="T112" i="29"/>
  <c r="T113" i="29"/>
  <c r="T114" i="29"/>
  <c r="T115" i="29"/>
  <c r="T116" i="29"/>
  <c r="T117" i="29"/>
  <c r="T118" i="29"/>
  <c r="T119" i="29"/>
  <c r="T120" i="29"/>
  <c r="T121" i="29"/>
  <c r="T122" i="29"/>
  <c r="T123" i="29"/>
  <c r="T124" i="29"/>
  <c r="T125" i="29"/>
  <c r="T126" i="29"/>
  <c r="T127" i="29"/>
  <c r="T128" i="29"/>
  <c r="T129" i="29"/>
  <c r="T130" i="29"/>
  <c r="T131" i="29"/>
  <c r="T132" i="29"/>
  <c r="T133" i="29"/>
  <c r="T134" i="29"/>
  <c r="T135" i="29"/>
  <c r="T136" i="29"/>
  <c r="T137" i="29"/>
  <c r="T138" i="29"/>
  <c r="T139" i="29"/>
  <c r="T140" i="29"/>
  <c r="T141" i="29"/>
  <c r="T142" i="29"/>
  <c r="T143" i="29"/>
  <c r="T144" i="29"/>
  <c r="T145" i="29"/>
  <c r="T146" i="29"/>
  <c r="T147" i="29"/>
  <c r="T148" i="29"/>
  <c r="T149" i="29"/>
  <c r="T150" i="29"/>
  <c r="T151" i="29"/>
  <c r="T152" i="29"/>
  <c r="T153" i="29"/>
  <c r="T154" i="29"/>
  <c r="T155" i="29"/>
  <c r="T156" i="29"/>
  <c r="T157" i="29"/>
  <c r="T158" i="29"/>
  <c r="T159" i="29"/>
  <c r="T160" i="29"/>
  <c r="T161" i="29"/>
  <c r="T162" i="29"/>
  <c r="T163" i="29"/>
  <c r="T164" i="29"/>
  <c r="T165" i="29"/>
  <c r="T166" i="29"/>
  <c r="T167" i="29"/>
  <c r="T168" i="29"/>
  <c r="T169" i="29"/>
  <c r="T170" i="29"/>
  <c r="T171" i="29"/>
  <c r="T172" i="29"/>
  <c r="T173" i="29"/>
  <c r="T174" i="29"/>
  <c r="T175" i="29"/>
  <c r="T176" i="29"/>
  <c r="T177" i="29"/>
  <c r="T178" i="29"/>
  <c r="T179" i="29"/>
  <c r="T180" i="29"/>
  <c r="T181" i="29"/>
  <c r="T182" i="29"/>
  <c r="T183" i="29"/>
  <c r="T184" i="29"/>
  <c r="T185" i="29"/>
  <c r="T186" i="29"/>
  <c r="T187" i="29"/>
  <c r="T188" i="29"/>
  <c r="T189" i="29"/>
  <c r="T190" i="29"/>
  <c r="T191" i="29"/>
  <c r="T192" i="29"/>
  <c r="T193" i="29"/>
  <c r="T194" i="29"/>
  <c r="T195" i="29"/>
  <c r="T196" i="29"/>
  <c r="T197" i="29"/>
  <c r="T198" i="29"/>
  <c r="T199" i="29"/>
  <c r="T200" i="29"/>
  <c r="T201" i="29"/>
  <c r="T202" i="29"/>
  <c r="T203" i="29"/>
  <c r="T204" i="29"/>
  <c r="T205" i="29"/>
  <c r="T206" i="29"/>
  <c r="T207" i="29"/>
  <c r="T208" i="29"/>
  <c r="T209" i="29"/>
  <c r="T210" i="29"/>
  <c r="T211" i="29"/>
  <c r="T212" i="29"/>
  <c r="T213" i="29"/>
  <c r="T214" i="29"/>
  <c r="T215" i="29"/>
  <c r="T216" i="29"/>
  <c r="T217" i="29"/>
  <c r="T218" i="29"/>
  <c r="T219" i="29"/>
  <c r="T220" i="29"/>
  <c r="T221" i="29"/>
  <c r="T222" i="29"/>
  <c r="T223" i="29"/>
  <c r="T224" i="29"/>
  <c r="T225" i="29"/>
  <c r="T226" i="29"/>
  <c r="T227" i="29"/>
  <c r="T228" i="29"/>
  <c r="T229" i="29"/>
  <c r="T230" i="29"/>
  <c r="T231" i="29"/>
  <c r="T232" i="29"/>
  <c r="T233" i="29"/>
  <c r="T234" i="29"/>
  <c r="T235" i="29"/>
  <c r="T236" i="29"/>
  <c r="T237" i="29"/>
  <c r="T238" i="29"/>
  <c r="T239" i="29"/>
  <c r="T240" i="29"/>
  <c r="T241" i="29"/>
  <c r="T242" i="29"/>
  <c r="T243" i="29"/>
  <c r="T244" i="29"/>
  <c r="T245" i="29"/>
  <c r="T246" i="29"/>
  <c r="T247" i="29"/>
  <c r="T248" i="29"/>
  <c r="T249" i="29"/>
  <c r="T250" i="29"/>
  <c r="T251" i="29"/>
  <c r="T252" i="29"/>
  <c r="T253" i="29"/>
  <c r="T254" i="29"/>
  <c r="T255" i="29"/>
  <c r="T256" i="29"/>
  <c r="T257" i="29"/>
  <c r="T258" i="29"/>
  <c r="T259" i="29"/>
  <c r="T260" i="29"/>
  <c r="T261" i="29"/>
  <c r="T262" i="29"/>
  <c r="T263" i="29"/>
  <c r="T264" i="29"/>
  <c r="T265" i="29"/>
  <c r="T266" i="29"/>
  <c r="T267" i="29"/>
  <c r="T268" i="29"/>
  <c r="T269" i="29"/>
  <c r="T270" i="29"/>
  <c r="T271" i="29"/>
  <c r="T272" i="29"/>
  <c r="T273" i="29"/>
  <c r="T274" i="29"/>
  <c r="T275" i="29"/>
  <c r="T276" i="29"/>
  <c r="T277" i="29"/>
  <c r="T278" i="29"/>
  <c r="T279" i="29"/>
  <c r="T280" i="29"/>
  <c r="T281" i="29"/>
  <c r="T282" i="29"/>
  <c r="T283" i="29"/>
  <c r="T284" i="29"/>
  <c r="T285" i="29"/>
  <c r="T286" i="29"/>
  <c r="T287" i="29"/>
  <c r="T288" i="29"/>
  <c r="T289" i="29"/>
  <c r="T290" i="29"/>
  <c r="T291" i="29"/>
  <c r="T292" i="29"/>
  <c r="T293" i="29"/>
  <c r="T294" i="29"/>
  <c r="T295" i="29"/>
  <c r="T296" i="29"/>
  <c r="T297" i="29"/>
  <c r="T298" i="29"/>
  <c r="T299" i="29"/>
  <c r="T300" i="29"/>
  <c r="T301" i="29"/>
  <c r="T302" i="29"/>
  <c r="T303" i="29"/>
  <c r="T304" i="29"/>
  <c r="T305" i="29"/>
  <c r="T306" i="29"/>
  <c r="T307" i="29"/>
  <c r="T308" i="29"/>
  <c r="T309" i="29"/>
  <c r="T310" i="29"/>
  <c r="T311" i="29"/>
  <c r="T312" i="29"/>
  <c r="T313" i="29"/>
  <c r="T314" i="29"/>
  <c r="T315" i="29"/>
  <c r="T316" i="29"/>
  <c r="T317" i="29"/>
  <c r="T318" i="29"/>
  <c r="T319" i="29"/>
  <c r="T320" i="29"/>
  <c r="T321" i="29"/>
  <c r="T322" i="29"/>
  <c r="T323" i="29"/>
  <c r="T324" i="29"/>
  <c r="T325" i="29"/>
  <c r="T326" i="29"/>
  <c r="T327" i="29"/>
  <c r="T328" i="29"/>
  <c r="T329" i="29"/>
  <c r="T330" i="29"/>
  <c r="T331" i="29"/>
  <c r="T332" i="29"/>
  <c r="T333" i="29"/>
  <c r="T334" i="29"/>
  <c r="T335" i="29"/>
  <c r="T336" i="29"/>
  <c r="T337" i="29"/>
  <c r="T338" i="29"/>
  <c r="T339" i="29"/>
  <c r="T340" i="29"/>
  <c r="T341" i="29"/>
  <c r="T342" i="29"/>
  <c r="T343" i="29"/>
  <c r="T344" i="29"/>
  <c r="T345" i="29"/>
  <c r="T346" i="29"/>
  <c r="T347" i="29"/>
  <c r="T348" i="29"/>
  <c r="T349" i="29"/>
  <c r="T350" i="29"/>
  <c r="T351" i="29"/>
  <c r="T352" i="29"/>
  <c r="T353" i="29"/>
  <c r="T354" i="29"/>
  <c r="T355" i="29"/>
  <c r="T356" i="29"/>
  <c r="T357" i="29"/>
  <c r="T358" i="29"/>
  <c r="T359" i="29"/>
  <c r="T360" i="29"/>
  <c r="T361" i="29"/>
  <c r="T362" i="29"/>
  <c r="T363" i="29"/>
  <c r="T364" i="29"/>
  <c r="T365" i="29"/>
  <c r="T366" i="29"/>
  <c r="T367" i="29"/>
  <c r="T368" i="29"/>
  <c r="T369" i="29"/>
  <c r="T370" i="29"/>
  <c r="T371" i="29"/>
  <c r="T372" i="29"/>
  <c r="T373" i="29"/>
  <c r="T374" i="29"/>
  <c r="T375" i="29"/>
  <c r="T376" i="29"/>
  <c r="T377" i="29"/>
  <c r="T378" i="29"/>
  <c r="T379" i="29"/>
  <c r="T380" i="29"/>
  <c r="T381" i="29"/>
  <c r="T382" i="29"/>
  <c r="T383" i="29"/>
  <c r="T384" i="29"/>
  <c r="T385" i="29"/>
  <c r="T386" i="29"/>
  <c r="T387" i="29"/>
  <c r="T388" i="29"/>
  <c r="T389" i="29"/>
  <c r="T390" i="29"/>
  <c r="T391" i="29"/>
  <c r="T392" i="29"/>
  <c r="T393" i="29"/>
  <c r="T394" i="29"/>
  <c r="T395" i="29"/>
  <c r="T396" i="29"/>
  <c r="T397" i="29"/>
  <c r="T398" i="29"/>
  <c r="T399" i="29"/>
  <c r="T400" i="29"/>
  <c r="T401" i="29"/>
  <c r="T402" i="29"/>
  <c r="T403" i="29"/>
  <c r="T404" i="29"/>
  <c r="T405" i="29"/>
  <c r="T406" i="29"/>
  <c r="T407" i="29"/>
  <c r="T408" i="29"/>
  <c r="T409" i="29"/>
  <c r="T410" i="29"/>
  <c r="T411" i="29"/>
  <c r="T412" i="29"/>
  <c r="T413" i="29"/>
  <c r="T414" i="29"/>
  <c r="T415" i="29"/>
  <c r="T416" i="29"/>
  <c r="T417" i="29"/>
  <c r="T418" i="29"/>
  <c r="T419" i="29"/>
  <c r="T420" i="29"/>
  <c r="T421" i="29"/>
  <c r="T422" i="29"/>
  <c r="T423" i="29"/>
  <c r="T424" i="29"/>
  <c r="T425" i="29"/>
  <c r="T426" i="29"/>
  <c r="T427" i="29"/>
  <c r="T428" i="29"/>
  <c r="T429" i="29"/>
  <c r="T430" i="29"/>
  <c r="T431" i="29"/>
  <c r="T432" i="29"/>
  <c r="T433" i="29"/>
  <c r="T434" i="29"/>
  <c r="T435" i="29"/>
  <c r="T436" i="29"/>
  <c r="T437" i="29"/>
  <c r="T438" i="29"/>
  <c r="T439" i="29"/>
  <c r="T440" i="29"/>
  <c r="T441" i="29"/>
  <c r="T442" i="29"/>
  <c r="T443" i="29"/>
  <c r="T444" i="29"/>
  <c r="T445" i="29"/>
  <c r="T446" i="29"/>
  <c r="T447" i="29"/>
  <c r="T448" i="29"/>
  <c r="T449" i="29"/>
  <c r="T450" i="29"/>
  <c r="T451" i="29"/>
  <c r="T452" i="29"/>
  <c r="T453" i="29"/>
  <c r="T454" i="29"/>
  <c r="T455" i="29"/>
  <c r="T456" i="29"/>
  <c r="T457" i="29"/>
  <c r="T458" i="29"/>
  <c r="T459" i="29"/>
  <c r="T460" i="29"/>
  <c r="T461" i="29"/>
  <c r="T462" i="29"/>
  <c r="T463" i="29"/>
  <c r="T464" i="29"/>
  <c r="T465" i="29"/>
  <c r="T466" i="29"/>
  <c r="T467" i="29"/>
  <c r="T468" i="29"/>
  <c r="T469" i="29"/>
  <c r="T470" i="29"/>
  <c r="T471" i="29"/>
  <c r="T472" i="29"/>
  <c r="T473" i="29"/>
  <c r="T474" i="29"/>
  <c r="T475" i="29"/>
  <c r="T476" i="29"/>
  <c r="T477" i="29"/>
  <c r="T478" i="29"/>
  <c r="T479" i="29"/>
  <c r="T480" i="29"/>
  <c r="T481" i="29"/>
  <c r="T482" i="29"/>
  <c r="T483" i="29"/>
  <c r="T484" i="29"/>
  <c r="T485" i="29"/>
  <c r="T486" i="29"/>
  <c r="T487" i="29"/>
  <c r="T488" i="29"/>
  <c r="T489" i="29"/>
  <c r="T490" i="29"/>
  <c r="T491" i="29"/>
  <c r="T492" i="29"/>
  <c r="T493" i="29"/>
  <c r="T494" i="29"/>
  <c r="T495" i="29"/>
  <c r="T496" i="29"/>
  <c r="T497" i="29"/>
  <c r="T498" i="29"/>
  <c r="T499" i="29"/>
  <c r="T500" i="29"/>
  <c r="T501" i="29"/>
  <c r="T502" i="29"/>
  <c r="T503" i="29"/>
  <c r="T504" i="29"/>
  <c r="T505" i="29"/>
  <c r="T506" i="29"/>
  <c r="T507" i="29"/>
  <c r="T508" i="29"/>
  <c r="T509" i="29"/>
  <c r="T510" i="29"/>
  <c r="T511" i="29"/>
  <c r="T512" i="29"/>
  <c r="T513" i="29"/>
  <c r="T514" i="29"/>
  <c r="T515" i="29"/>
  <c r="T516" i="29"/>
  <c r="T517" i="29"/>
  <c r="T518" i="29"/>
  <c r="T519" i="29"/>
  <c r="T520" i="29"/>
  <c r="T521" i="29"/>
  <c r="T522" i="29"/>
  <c r="T523" i="29"/>
  <c r="T524" i="29"/>
  <c r="T525" i="29"/>
  <c r="T526" i="29"/>
  <c r="T527" i="29"/>
  <c r="T528" i="29"/>
  <c r="T529" i="29"/>
  <c r="T530" i="29"/>
  <c r="T531" i="29"/>
  <c r="T532" i="29"/>
  <c r="T533" i="29"/>
  <c r="T534" i="29"/>
  <c r="T535" i="29"/>
  <c r="T536" i="29"/>
  <c r="T537" i="29"/>
  <c r="T538" i="29"/>
  <c r="T539" i="29"/>
  <c r="T540" i="29"/>
  <c r="T541" i="29"/>
  <c r="T542" i="29"/>
  <c r="T543" i="29"/>
  <c r="T544" i="29"/>
  <c r="T545" i="29"/>
  <c r="T546" i="29"/>
  <c r="T547" i="29"/>
  <c r="T548" i="29"/>
  <c r="T549" i="29"/>
  <c r="T550" i="29"/>
  <c r="T551" i="29"/>
  <c r="T552" i="29"/>
  <c r="T553" i="29"/>
  <c r="T554" i="29"/>
  <c r="T555" i="29"/>
  <c r="T556" i="29"/>
  <c r="T557" i="29"/>
  <c r="T558" i="29"/>
  <c r="T559" i="29"/>
  <c r="T560" i="29"/>
  <c r="T561" i="29"/>
  <c r="T562" i="29"/>
  <c r="T563" i="29"/>
  <c r="T564" i="29"/>
  <c r="T565" i="29"/>
  <c r="T566" i="29"/>
  <c r="T567" i="29"/>
  <c r="T568" i="29"/>
  <c r="T569" i="29"/>
  <c r="T570" i="29"/>
  <c r="T571" i="29"/>
  <c r="T572" i="29"/>
  <c r="T573" i="29"/>
  <c r="T574" i="29"/>
  <c r="T575" i="29"/>
  <c r="T576" i="29"/>
  <c r="T577" i="29"/>
  <c r="T578" i="29"/>
  <c r="T579" i="29"/>
  <c r="T580" i="29"/>
  <c r="T581" i="29"/>
  <c r="T582" i="29"/>
  <c r="T583" i="29"/>
  <c r="T584" i="29"/>
  <c r="T585" i="29"/>
  <c r="T586" i="29"/>
  <c r="T587" i="29"/>
  <c r="T588" i="29"/>
  <c r="T589" i="29"/>
  <c r="T590" i="29"/>
  <c r="T591" i="29"/>
  <c r="T592" i="29"/>
  <c r="T593" i="29"/>
  <c r="T594" i="29"/>
  <c r="T595" i="29"/>
  <c r="T596" i="29"/>
  <c r="T597" i="29"/>
  <c r="T598" i="29"/>
  <c r="T599" i="29"/>
  <c r="T600" i="29"/>
  <c r="T601" i="29"/>
  <c r="T602" i="29"/>
  <c r="T603" i="29"/>
  <c r="T604" i="29"/>
  <c r="T605" i="29"/>
  <c r="T606" i="29"/>
  <c r="T607" i="29"/>
  <c r="T608" i="29"/>
  <c r="T609" i="29"/>
  <c r="T610" i="29"/>
  <c r="T611" i="29"/>
  <c r="T612" i="29"/>
  <c r="T613" i="29"/>
  <c r="T614" i="29"/>
  <c r="T615" i="29"/>
  <c r="T616" i="29"/>
  <c r="T617" i="29"/>
  <c r="T618" i="29"/>
  <c r="T619" i="29"/>
  <c r="T620" i="29"/>
  <c r="T621" i="29"/>
  <c r="T622" i="29"/>
  <c r="T623" i="29"/>
  <c r="T624" i="29"/>
  <c r="T625" i="29"/>
  <c r="T626" i="29"/>
  <c r="T627" i="29"/>
  <c r="T628" i="29"/>
  <c r="T629" i="29"/>
  <c r="T630" i="29"/>
  <c r="T631" i="29"/>
  <c r="T632" i="29"/>
  <c r="T633" i="29"/>
  <c r="T634" i="29"/>
  <c r="T635" i="29"/>
  <c r="T636" i="29"/>
  <c r="T637" i="29"/>
  <c r="T638" i="29"/>
  <c r="T639" i="29"/>
  <c r="T640" i="29"/>
  <c r="T641" i="29"/>
  <c r="T642" i="29"/>
  <c r="T643" i="29"/>
  <c r="T644" i="29"/>
  <c r="T645" i="29"/>
  <c r="T646" i="29"/>
  <c r="T647" i="29"/>
  <c r="T648" i="29"/>
  <c r="T649" i="29"/>
  <c r="T650" i="29"/>
  <c r="T5" i="29"/>
  <c r="N31" i="17"/>
  <c r="N53" i="17"/>
  <c r="N55" i="17"/>
  <c r="N59" i="17"/>
  <c r="N58" i="17"/>
  <c r="N38" i="17"/>
  <c r="N43" i="17"/>
  <c r="N61" i="17"/>
  <c r="L52" i="17"/>
  <c r="N52" i="17" s="1"/>
  <c r="R8" i="21"/>
  <c r="L650" i="29"/>
  <c r="L649" i="29"/>
  <c r="L648" i="29"/>
  <c r="L647" i="29"/>
  <c r="L646" i="29"/>
  <c r="L645" i="29"/>
  <c r="L644" i="29"/>
  <c r="L643" i="29"/>
  <c r="L642" i="29"/>
  <c r="L641" i="29"/>
  <c r="L640" i="29"/>
  <c r="L639" i="29"/>
  <c r="L638" i="29"/>
  <c r="L637" i="29"/>
  <c r="L636" i="29"/>
  <c r="L635" i="29"/>
  <c r="L634" i="29"/>
  <c r="L633" i="29"/>
  <c r="L632" i="29"/>
  <c r="L631" i="29"/>
  <c r="L630" i="29"/>
  <c r="L629" i="29"/>
  <c r="L628" i="29"/>
  <c r="L627" i="29"/>
  <c r="L626" i="29"/>
  <c r="L625" i="29"/>
  <c r="L624" i="29"/>
  <c r="L623" i="29"/>
  <c r="L622" i="29"/>
  <c r="L621" i="29"/>
  <c r="L620" i="29"/>
  <c r="L619" i="29"/>
  <c r="L618" i="29"/>
  <c r="L617" i="29"/>
  <c r="L616" i="29"/>
  <c r="L615" i="29"/>
  <c r="L614" i="29"/>
  <c r="L613" i="29"/>
  <c r="L612" i="29"/>
  <c r="L611" i="29"/>
  <c r="L610" i="29"/>
  <c r="L609" i="29"/>
  <c r="L608" i="29"/>
  <c r="L607" i="29"/>
  <c r="L606" i="29"/>
  <c r="L605" i="29"/>
  <c r="L604" i="29"/>
  <c r="L603" i="29"/>
  <c r="L602" i="29"/>
  <c r="L601" i="29"/>
  <c r="L600" i="29"/>
  <c r="L599" i="29"/>
  <c r="L598" i="29"/>
  <c r="L597" i="29"/>
  <c r="L596" i="29"/>
  <c r="L595" i="29"/>
  <c r="L594" i="29"/>
  <c r="L593" i="29"/>
  <c r="L592" i="29"/>
  <c r="L591" i="29"/>
  <c r="L590" i="29"/>
  <c r="L589" i="29"/>
  <c r="L588" i="29"/>
  <c r="L587" i="29"/>
  <c r="L586" i="29"/>
  <c r="L585" i="29"/>
  <c r="L584" i="29"/>
  <c r="L583" i="29"/>
  <c r="L582" i="29"/>
  <c r="L581" i="29"/>
  <c r="L580" i="29"/>
  <c r="L579" i="29"/>
  <c r="L578" i="29"/>
  <c r="L577" i="29"/>
  <c r="L576" i="29"/>
  <c r="L575" i="29"/>
  <c r="L574" i="29"/>
  <c r="L573" i="29"/>
  <c r="L572" i="29"/>
  <c r="L571" i="29"/>
  <c r="L570" i="29"/>
  <c r="L569" i="29"/>
  <c r="L568" i="29"/>
  <c r="L567" i="29"/>
  <c r="L566" i="29"/>
  <c r="L565" i="29"/>
  <c r="L564" i="29"/>
  <c r="L563" i="29"/>
  <c r="L562" i="29"/>
  <c r="L561" i="29"/>
  <c r="L560" i="29"/>
  <c r="L559" i="29"/>
  <c r="L558" i="29"/>
  <c r="L557" i="29"/>
  <c r="L556" i="29"/>
  <c r="L555" i="29"/>
  <c r="L554" i="29"/>
  <c r="L553" i="29"/>
  <c r="L552" i="29"/>
  <c r="L551" i="29"/>
  <c r="L550" i="29"/>
  <c r="L549" i="29"/>
  <c r="L548" i="29"/>
  <c r="L547" i="29"/>
  <c r="L546" i="29"/>
  <c r="L545" i="29"/>
  <c r="L544" i="29"/>
  <c r="L543" i="29"/>
  <c r="L542" i="29"/>
  <c r="L541" i="29"/>
  <c r="L540" i="29"/>
  <c r="L539" i="29"/>
  <c r="L538" i="29"/>
  <c r="L537" i="29"/>
  <c r="L536" i="29"/>
  <c r="L535" i="29"/>
  <c r="L534" i="29"/>
  <c r="L533" i="29"/>
  <c r="L532" i="29"/>
  <c r="L531" i="29"/>
  <c r="L530" i="29"/>
  <c r="L529" i="29"/>
  <c r="L528" i="29"/>
  <c r="L527" i="29"/>
  <c r="L526" i="29"/>
  <c r="L525" i="29"/>
  <c r="L524" i="29"/>
  <c r="L523" i="29"/>
  <c r="L522" i="29"/>
  <c r="L521" i="29"/>
  <c r="L520" i="29"/>
  <c r="L519" i="29"/>
  <c r="L518" i="29"/>
  <c r="L517" i="29"/>
  <c r="L516" i="29"/>
  <c r="L515" i="29"/>
  <c r="L514" i="29"/>
  <c r="L513" i="29"/>
  <c r="L512" i="29"/>
  <c r="L511" i="29"/>
  <c r="L510" i="29"/>
  <c r="L509" i="29"/>
  <c r="L508" i="29"/>
  <c r="L507" i="29"/>
  <c r="L506" i="29"/>
  <c r="L505" i="29"/>
  <c r="L504" i="29"/>
  <c r="L503" i="29"/>
  <c r="L502" i="29"/>
  <c r="L501" i="29"/>
  <c r="L500" i="29"/>
  <c r="L499" i="29"/>
  <c r="L498" i="29"/>
  <c r="L497" i="29"/>
  <c r="L496" i="29"/>
  <c r="L495" i="29"/>
  <c r="L494" i="29"/>
  <c r="L493" i="29"/>
  <c r="L492" i="29"/>
  <c r="L491" i="29"/>
  <c r="L490" i="29"/>
  <c r="L489" i="29"/>
  <c r="L488" i="29"/>
  <c r="L487" i="29"/>
  <c r="L486" i="29"/>
  <c r="L485" i="29"/>
  <c r="L484" i="29"/>
  <c r="L483" i="29"/>
  <c r="L482" i="29"/>
  <c r="L481" i="29"/>
  <c r="L480" i="29"/>
  <c r="L479" i="29"/>
  <c r="L478" i="29"/>
  <c r="L477" i="29"/>
  <c r="L476" i="29"/>
  <c r="L475" i="29"/>
  <c r="L474" i="29"/>
  <c r="L473" i="29"/>
  <c r="L472" i="29"/>
  <c r="L471" i="29"/>
  <c r="L470" i="29"/>
  <c r="L469" i="29"/>
  <c r="L468" i="29"/>
  <c r="L467" i="29"/>
  <c r="L466" i="29"/>
  <c r="L465" i="29"/>
  <c r="L464" i="29"/>
  <c r="L463" i="29"/>
  <c r="L462" i="29"/>
  <c r="L461" i="29"/>
  <c r="L460" i="29"/>
  <c r="L459" i="29"/>
  <c r="L458" i="29"/>
  <c r="L457" i="29"/>
  <c r="L456" i="29"/>
  <c r="L455" i="29"/>
  <c r="L454" i="29"/>
  <c r="L453" i="29"/>
  <c r="L452" i="29"/>
  <c r="L451" i="29"/>
  <c r="L450" i="29"/>
  <c r="L449" i="29"/>
  <c r="L448" i="29"/>
  <c r="L447" i="29"/>
  <c r="L446" i="29"/>
  <c r="L445" i="29"/>
  <c r="L444" i="29"/>
  <c r="L443" i="29"/>
  <c r="L442" i="29"/>
  <c r="L441" i="29"/>
  <c r="L440" i="29"/>
  <c r="L439" i="29"/>
  <c r="L438" i="29"/>
  <c r="L437" i="29"/>
  <c r="L436" i="29"/>
  <c r="L435" i="29"/>
  <c r="L434" i="29"/>
  <c r="L433" i="29"/>
  <c r="L432" i="29"/>
  <c r="L431" i="29"/>
  <c r="L430" i="29"/>
  <c r="L429" i="29"/>
  <c r="L428" i="29"/>
  <c r="L427" i="29"/>
  <c r="L426" i="29"/>
  <c r="L425" i="29"/>
  <c r="L424" i="29"/>
  <c r="L423" i="29"/>
  <c r="L422" i="29"/>
  <c r="L421" i="29"/>
  <c r="L420" i="29"/>
  <c r="L419" i="29"/>
  <c r="L418" i="29"/>
  <c r="L417" i="29"/>
  <c r="L416" i="29"/>
  <c r="L415" i="29"/>
  <c r="L414" i="29"/>
  <c r="L413" i="29"/>
  <c r="L412" i="29"/>
  <c r="L411" i="29"/>
  <c r="L410" i="29"/>
  <c r="L409" i="29"/>
  <c r="L408" i="29"/>
  <c r="L407" i="29"/>
  <c r="L406" i="29"/>
  <c r="L405" i="29"/>
  <c r="L404" i="29"/>
  <c r="L403" i="29"/>
  <c r="L402" i="29"/>
  <c r="L401" i="29"/>
  <c r="L400" i="29"/>
  <c r="L399" i="29"/>
  <c r="L398" i="29"/>
  <c r="L397" i="29"/>
  <c r="L396" i="29"/>
  <c r="L395" i="29"/>
  <c r="L394" i="29"/>
  <c r="L393" i="29"/>
  <c r="L392" i="29"/>
  <c r="L391" i="29"/>
  <c r="L390" i="29"/>
  <c r="L389" i="29"/>
  <c r="L388" i="29"/>
  <c r="L387" i="29"/>
  <c r="L386" i="29"/>
  <c r="L385" i="29"/>
  <c r="L384" i="29"/>
  <c r="L383" i="29"/>
  <c r="L382" i="29"/>
  <c r="L381" i="29"/>
  <c r="L380" i="29"/>
  <c r="L379" i="29"/>
  <c r="L378" i="29"/>
  <c r="L377" i="29"/>
  <c r="L376" i="29"/>
  <c r="L375" i="29"/>
  <c r="L374" i="29"/>
  <c r="L373" i="29"/>
  <c r="L372" i="29"/>
  <c r="L371" i="29"/>
  <c r="L370" i="29"/>
  <c r="L369" i="29"/>
  <c r="L368" i="29"/>
  <c r="L367" i="29"/>
  <c r="L366" i="29"/>
  <c r="L365" i="29"/>
  <c r="L364" i="29"/>
  <c r="L363" i="29"/>
  <c r="L362" i="29"/>
  <c r="L361" i="29"/>
  <c r="L360" i="29"/>
  <c r="L359" i="29"/>
  <c r="L358" i="29"/>
  <c r="L357" i="29"/>
  <c r="L356" i="29"/>
  <c r="L355" i="29"/>
  <c r="L354" i="29"/>
  <c r="L353" i="29"/>
  <c r="L352" i="29"/>
  <c r="L351" i="29"/>
  <c r="L350" i="29"/>
  <c r="L349" i="29"/>
  <c r="L348" i="29"/>
  <c r="L347" i="29"/>
  <c r="L346" i="29"/>
  <c r="L345" i="29"/>
  <c r="L344" i="29"/>
  <c r="L343" i="29"/>
  <c r="L342" i="29"/>
  <c r="L341" i="29"/>
  <c r="L340" i="29"/>
  <c r="L339" i="29"/>
  <c r="L338" i="29"/>
  <c r="L337" i="29"/>
  <c r="L336" i="29"/>
  <c r="L335" i="29"/>
  <c r="L334" i="29"/>
  <c r="L333" i="29"/>
  <c r="L332" i="29"/>
  <c r="L331" i="29"/>
  <c r="L330" i="29"/>
  <c r="L329" i="29"/>
  <c r="L328" i="29"/>
  <c r="L327" i="29"/>
  <c r="L326" i="29"/>
  <c r="L325" i="29"/>
  <c r="L324" i="29"/>
  <c r="L323" i="29"/>
  <c r="L322" i="29"/>
  <c r="L321" i="29"/>
  <c r="L320" i="29"/>
  <c r="L319" i="29"/>
  <c r="L318" i="29"/>
  <c r="L317" i="29"/>
  <c r="L316" i="29"/>
  <c r="L315" i="29"/>
  <c r="L314" i="29"/>
  <c r="L313" i="29"/>
  <c r="L312" i="29"/>
  <c r="L311" i="29"/>
  <c r="L310" i="29"/>
  <c r="L309" i="29"/>
  <c r="L308" i="29"/>
  <c r="L307" i="29"/>
  <c r="L306" i="29"/>
  <c r="L305" i="29"/>
  <c r="L304" i="29"/>
  <c r="L303" i="29"/>
  <c r="L302" i="29"/>
  <c r="L301" i="29"/>
  <c r="L300" i="29"/>
  <c r="L299" i="29"/>
  <c r="L298" i="29"/>
  <c r="L297" i="29"/>
  <c r="L296" i="29"/>
  <c r="L295" i="29"/>
  <c r="L294" i="29"/>
  <c r="L293" i="29"/>
  <c r="L292" i="29"/>
  <c r="L291" i="29"/>
  <c r="L290" i="29"/>
  <c r="L289" i="29"/>
  <c r="L288" i="29"/>
  <c r="L287" i="29"/>
  <c r="L286" i="29"/>
  <c r="L285" i="29"/>
  <c r="L284" i="29"/>
  <c r="L283" i="29"/>
  <c r="L282" i="29"/>
  <c r="L281" i="29"/>
  <c r="L280" i="29"/>
  <c r="L279" i="29"/>
  <c r="L278" i="29"/>
  <c r="L277" i="29"/>
  <c r="L276" i="29"/>
  <c r="L275" i="29"/>
  <c r="L274" i="29"/>
  <c r="L273" i="29"/>
  <c r="L272" i="29"/>
  <c r="L271" i="29"/>
  <c r="L270" i="29"/>
  <c r="L269" i="29"/>
  <c r="L268" i="29"/>
  <c r="L267" i="29"/>
  <c r="L266" i="29"/>
  <c r="L265" i="29"/>
  <c r="L264" i="29"/>
  <c r="L263" i="29"/>
  <c r="L262" i="29"/>
  <c r="L261" i="29"/>
  <c r="L260" i="29"/>
  <c r="L259" i="29"/>
  <c r="L258" i="29"/>
  <c r="L257" i="29"/>
  <c r="L256" i="29"/>
  <c r="L255" i="29"/>
  <c r="L254" i="29"/>
  <c r="L253" i="29"/>
  <c r="L252" i="29"/>
  <c r="L251" i="29"/>
  <c r="L250" i="29"/>
  <c r="L249" i="29"/>
  <c r="L248" i="29"/>
  <c r="L247" i="29"/>
  <c r="L246" i="29"/>
  <c r="L245" i="29"/>
  <c r="L244" i="29"/>
  <c r="L243" i="29"/>
  <c r="L242" i="29"/>
  <c r="L241" i="29"/>
  <c r="L240" i="29"/>
  <c r="L239" i="29"/>
  <c r="L238" i="29"/>
  <c r="L237" i="29"/>
  <c r="L236" i="29"/>
  <c r="L235" i="29"/>
  <c r="L234" i="29"/>
  <c r="L233" i="29"/>
  <c r="L232" i="29"/>
  <c r="L231" i="29"/>
  <c r="L230" i="29"/>
  <c r="L229" i="29"/>
  <c r="L228" i="29"/>
  <c r="L227" i="29"/>
  <c r="L226" i="29"/>
  <c r="L225" i="29"/>
  <c r="L224" i="29"/>
  <c r="L223" i="29"/>
  <c r="L222" i="29"/>
  <c r="L221" i="29"/>
  <c r="L220" i="29"/>
  <c r="L219" i="29"/>
  <c r="L218" i="29"/>
  <c r="L217" i="29"/>
  <c r="L216" i="29"/>
  <c r="L215" i="29"/>
  <c r="L214" i="29"/>
  <c r="L213" i="29"/>
  <c r="L212" i="29"/>
  <c r="L211" i="29"/>
  <c r="L210" i="29"/>
  <c r="L209" i="29"/>
  <c r="L208" i="29"/>
  <c r="L207" i="29"/>
  <c r="L206" i="29"/>
  <c r="L205" i="29"/>
  <c r="L204" i="29"/>
  <c r="L203" i="29"/>
  <c r="L202" i="29"/>
  <c r="L201" i="29"/>
  <c r="L200" i="29"/>
  <c r="L199" i="29"/>
  <c r="L198" i="29"/>
  <c r="L197" i="29"/>
  <c r="L196" i="29"/>
  <c r="L195" i="29"/>
  <c r="L194" i="29"/>
  <c r="L193" i="29"/>
  <c r="L192" i="29"/>
  <c r="L191" i="29"/>
  <c r="L190" i="29"/>
  <c r="L189" i="29"/>
  <c r="L188" i="29"/>
  <c r="L187" i="29"/>
  <c r="L186" i="29"/>
  <c r="L185" i="29"/>
  <c r="L184" i="29"/>
  <c r="L183" i="29"/>
  <c r="L182" i="29"/>
  <c r="L181" i="29"/>
  <c r="L180" i="29"/>
  <c r="L179" i="29"/>
  <c r="L178" i="29"/>
  <c r="L177" i="29"/>
  <c r="L176" i="29"/>
  <c r="L175" i="29"/>
  <c r="L174" i="29"/>
  <c r="L173" i="29"/>
  <c r="L172" i="29"/>
  <c r="L171" i="29"/>
  <c r="L170" i="29"/>
  <c r="L169" i="29"/>
  <c r="L168" i="29"/>
  <c r="L167" i="29"/>
  <c r="L166" i="29"/>
  <c r="L165" i="29"/>
  <c r="L164" i="29"/>
  <c r="L163" i="29"/>
  <c r="L162" i="29"/>
  <c r="L161" i="29"/>
  <c r="L160" i="29"/>
  <c r="L159" i="29"/>
  <c r="L158" i="29"/>
  <c r="L157" i="29"/>
  <c r="L156" i="29"/>
  <c r="L155" i="29"/>
  <c r="L154" i="29"/>
  <c r="L153" i="29"/>
  <c r="L152" i="29"/>
  <c r="L151" i="29"/>
  <c r="L150" i="29"/>
  <c r="L149" i="29"/>
  <c r="L148" i="29"/>
  <c r="L147" i="29"/>
  <c r="L146" i="29"/>
  <c r="L145" i="29"/>
  <c r="L144" i="29"/>
  <c r="L143" i="29"/>
  <c r="L142" i="29"/>
  <c r="L141" i="29"/>
  <c r="L140" i="29"/>
  <c r="L139" i="29"/>
  <c r="L138" i="29"/>
  <c r="L137" i="29"/>
  <c r="L136" i="29"/>
  <c r="L135" i="29"/>
  <c r="L134" i="29"/>
  <c r="L133" i="29"/>
  <c r="L132" i="29"/>
  <c r="L131" i="29"/>
  <c r="L130" i="29"/>
  <c r="L129" i="29"/>
  <c r="L128" i="29"/>
  <c r="L127" i="29"/>
  <c r="L126" i="29"/>
  <c r="L125" i="29"/>
  <c r="L124" i="29"/>
  <c r="L123" i="29"/>
  <c r="L122" i="29"/>
  <c r="L121" i="29"/>
  <c r="L120" i="29"/>
  <c r="L119" i="29"/>
  <c r="L118" i="29"/>
  <c r="L117" i="29"/>
  <c r="L116" i="29"/>
  <c r="L115" i="29"/>
  <c r="L114" i="29"/>
  <c r="L113" i="29"/>
  <c r="L112" i="29"/>
  <c r="L111" i="29"/>
  <c r="L110" i="29"/>
  <c r="L109" i="29"/>
  <c r="L108" i="29"/>
  <c r="L107" i="29"/>
  <c r="L106" i="29"/>
  <c r="L105" i="29"/>
  <c r="L104" i="29"/>
  <c r="L103" i="29"/>
  <c r="L102" i="29"/>
  <c r="L101" i="29"/>
  <c r="L100" i="29"/>
  <c r="L99" i="29"/>
  <c r="L98" i="29"/>
  <c r="L97" i="29"/>
  <c r="L96" i="29"/>
  <c r="L95" i="29"/>
  <c r="L94" i="29"/>
  <c r="L93" i="29"/>
  <c r="L92" i="29"/>
  <c r="L91" i="29"/>
  <c r="L90" i="29"/>
  <c r="L89" i="29"/>
  <c r="L88" i="29"/>
  <c r="L87" i="29"/>
  <c r="L86" i="29"/>
  <c r="L85" i="29"/>
  <c r="L84" i="29"/>
  <c r="L83" i="29"/>
  <c r="L82" i="29"/>
  <c r="L81" i="29"/>
  <c r="L80" i="29"/>
  <c r="L79" i="29"/>
  <c r="L78" i="29"/>
  <c r="L77" i="29"/>
  <c r="L76" i="29"/>
  <c r="L75" i="29"/>
  <c r="L74" i="29"/>
  <c r="L73" i="29"/>
  <c r="L72" i="29"/>
  <c r="L71" i="29"/>
  <c r="L70" i="29"/>
  <c r="L69" i="29"/>
  <c r="L68" i="29"/>
  <c r="L67" i="29"/>
  <c r="L66" i="29"/>
  <c r="L65" i="29"/>
  <c r="L64" i="29"/>
  <c r="L63" i="29"/>
  <c r="L62" i="29"/>
  <c r="L61" i="29"/>
  <c r="L60" i="29"/>
  <c r="L59" i="29"/>
  <c r="L58" i="29"/>
  <c r="L57" i="29"/>
  <c r="L56" i="29"/>
  <c r="L55" i="29"/>
  <c r="L54" i="29"/>
  <c r="L53" i="29"/>
  <c r="L52" i="29"/>
  <c r="L51" i="29"/>
  <c r="L50" i="29"/>
  <c r="L49" i="29"/>
  <c r="L48" i="29"/>
  <c r="L47" i="29"/>
  <c r="L46" i="29"/>
  <c r="L45" i="29"/>
  <c r="L44" i="29"/>
  <c r="L43" i="29"/>
  <c r="L42" i="29"/>
  <c r="L41" i="29"/>
  <c r="L40" i="29"/>
  <c r="L39" i="29"/>
  <c r="L38" i="29"/>
  <c r="L37" i="29"/>
  <c r="L36" i="29"/>
  <c r="L35" i="29"/>
  <c r="L34" i="29"/>
  <c r="L33" i="29"/>
  <c r="L32" i="29"/>
  <c r="L31" i="29"/>
  <c r="L30" i="29"/>
  <c r="L29" i="29"/>
  <c r="L28" i="29"/>
  <c r="L27" i="29"/>
  <c r="L26" i="29"/>
  <c r="L25" i="29"/>
  <c r="L24" i="29"/>
  <c r="L23" i="29"/>
  <c r="L22" i="29"/>
  <c r="L21" i="29"/>
  <c r="L20" i="29"/>
  <c r="L19" i="29"/>
  <c r="L18" i="29"/>
  <c r="L17" i="29"/>
  <c r="L16" i="29"/>
  <c r="L15" i="29"/>
  <c r="L14" i="29"/>
  <c r="L13" i="29"/>
  <c r="L12" i="29"/>
  <c r="L11" i="29"/>
  <c r="L10" i="29"/>
  <c r="L9" i="29"/>
  <c r="L8" i="29"/>
  <c r="L7" i="29"/>
  <c r="L58" i="24"/>
  <c r="J151" i="24"/>
  <c r="N793" i="14"/>
  <c r="N794" i="14"/>
  <c r="N795" i="14"/>
  <c r="N796" i="14"/>
  <c r="N797" i="14"/>
  <c r="N798" i="14"/>
  <c r="N799" i="14"/>
  <c r="N800" i="14"/>
  <c r="N801" i="14"/>
  <c r="N802" i="14"/>
  <c r="N803" i="14"/>
  <c r="N804" i="14"/>
  <c r="N805" i="14"/>
  <c r="N806" i="14"/>
  <c r="N807" i="14"/>
  <c r="N808" i="14"/>
  <c r="N809" i="14"/>
  <c r="N810" i="14"/>
  <c r="N811" i="14"/>
  <c r="N812" i="14"/>
  <c r="N813" i="14"/>
  <c r="N814" i="14"/>
  <c r="N815" i="14"/>
  <c r="N816" i="14"/>
  <c r="N817" i="14"/>
  <c r="N818" i="14"/>
  <c r="N819" i="14"/>
  <c r="N820" i="14"/>
  <c r="N821" i="14"/>
  <c r="N822" i="14"/>
  <c r="N823" i="14"/>
  <c r="N824" i="14"/>
  <c r="N825" i="14"/>
  <c r="N826" i="14"/>
  <c r="N827" i="14"/>
  <c r="N828" i="14"/>
  <c r="N829" i="14"/>
  <c r="N830" i="14"/>
  <c r="N831" i="14"/>
  <c r="N832" i="14"/>
  <c r="N833" i="14"/>
  <c r="N834" i="14"/>
  <c r="N835" i="14"/>
  <c r="N836" i="14"/>
  <c r="N837" i="14"/>
  <c r="N838" i="14"/>
  <c r="N839" i="14"/>
  <c r="N840" i="14"/>
  <c r="N841" i="14"/>
  <c r="N842" i="14"/>
  <c r="N843" i="14"/>
  <c r="N844" i="14"/>
  <c r="N845" i="14"/>
  <c r="N846" i="14"/>
  <c r="N847" i="14"/>
  <c r="N848" i="14"/>
  <c r="N849" i="14"/>
  <c r="N850" i="14"/>
  <c r="N851" i="14"/>
  <c r="N852" i="14"/>
  <c r="N853" i="14"/>
  <c r="N854" i="14"/>
  <c r="N855" i="14"/>
  <c r="N856" i="14"/>
  <c r="N857" i="14"/>
  <c r="N858" i="14"/>
  <c r="N859" i="14"/>
  <c r="N860" i="14"/>
  <c r="N861" i="14"/>
  <c r="N862" i="14"/>
  <c r="N863" i="14"/>
  <c r="N864" i="14"/>
  <c r="N865" i="14"/>
  <c r="N866" i="14"/>
  <c r="N867" i="14"/>
  <c r="N868" i="14"/>
  <c r="N869" i="14"/>
  <c r="N870" i="14"/>
  <c r="N871" i="14"/>
  <c r="N872" i="14"/>
  <c r="N873" i="14"/>
  <c r="N874" i="14"/>
  <c r="N875" i="14"/>
  <c r="N876" i="14"/>
  <c r="N877" i="14"/>
  <c r="N878" i="14"/>
  <c r="N879" i="14"/>
  <c r="N880" i="14"/>
  <c r="N881" i="14"/>
  <c r="N882" i="14"/>
  <c r="N883" i="14"/>
  <c r="N884" i="14"/>
  <c r="N885" i="14"/>
  <c r="N886" i="14"/>
  <c r="N887" i="14"/>
  <c r="N888" i="14"/>
  <c r="N889" i="14"/>
  <c r="N890" i="14"/>
  <c r="N891" i="14"/>
  <c r="N892" i="14"/>
  <c r="N893" i="14"/>
  <c r="N894" i="14"/>
  <c r="N895" i="14"/>
  <c r="N896" i="14"/>
  <c r="N897" i="14"/>
  <c r="N898" i="14"/>
  <c r="N899" i="14"/>
  <c r="N900" i="14"/>
  <c r="N901" i="14"/>
  <c r="N902" i="14"/>
  <c r="N903" i="14"/>
  <c r="N904" i="14"/>
  <c r="N905" i="14"/>
  <c r="N906" i="14"/>
  <c r="N907" i="14"/>
  <c r="N908" i="14"/>
  <c r="N909" i="14"/>
  <c r="N910" i="14"/>
  <c r="N911" i="14"/>
  <c r="N912" i="14"/>
  <c r="N913" i="14"/>
  <c r="N914" i="14"/>
  <c r="N915" i="14"/>
  <c r="N916" i="14"/>
  <c r="N917" i="14"/>
  <c r="N918" i="14"/>
  <c r="N919" i="14"/>
  <c r="N920" i="14"/>
  <c r="N921" i="14"/>
  <c r="N922" i="14"/>
  <c r="N923" i="14"/>
  <c r="N924" i="14"/>
  <c r="N925" i="14"/>
  <c r="N926" i="14"/>
  <c r="N927" i="14"/>
  <c r="N928" i="14"/>
  <c r="N929" i="14"/>
  <c r="N930" i="14"/>
  <c r="N931" i="14"/>
  <c r="N932" i="14"/>
  <c r="N933" i="14"/>
  <c r="N934" i="14"/>
  <c r="N935" i="14"/>
  <c r="N936" i="14"/>
  <c r="N937" i="14"/>
  <c r="N938" i="14"/>
  <c r="N939" i="14"/>
  <c r="N940" i="14"/>
  <c r="N941" i="14"/>
  <c r="N942" i="14"/>
  <c r="N943" i="14"/>
  <c r="N944" i="14"/>
  <c r="N945" i="14"/>
  <c r="N946" i="14"/>
  <c r="N947" i="14"/>
  <c r="N948" i="14"/>
  <c r="N949" i="14"/>
  <c r="N950" i="14"/>
  <c r="N951" i="14"/>
  <c r="N952" i="14"/>
  <c r="N953" i="14"/>
  <c r="N954" i="14"/>
  <c r="N955" i="14"/>
  <c r="N956" i="14"/>
  <c r="N957" i="14"/>
  <c r="N958" i="14"/>
  <c r="N959" i="14"/>
  <c r="N960" i="14"/>
  <c r="N961" i="14"/>
  <c r="N962" i="14"/>
  <c r="N963" i="14"/>
  <c r="N964" i="14"/>
  <c r="N965" i="14"/>
  <c r="N966" i="14"/>
  <c r="N967" i="14"/>
  <c r="N968" i="14"/>
  <c r="N969" i="14"/>
  <c r="N970" i="14"/>
  <c r="N971" i="14"/>
  <c r="N972" i="14"/>
  <c r="N973" i="14"/>
  <c r="N974" i="14"/>
  <c r="N975" i="14"/>
  <c r="N976" i="14"/>
  <c r="N977" i="14"/>
  <c r="N978" i="14"/>
  <c r="N979" i="14"/>
  <c r="N980" i="14"/>
  <c r="N981" i="14"/>
  <c r="N982" i="14"/>
  <c r="N983" i="14"/>
  <c r="N984" i="14"/>
  <c r="N985" i="14"/>
  <c r="N986" i="14"/>
  <c r="N987" i="14"/>
  <c r="N988" i="14"/>
  <c r="N989" i="14"/>
  <c r="N990" i="14"/>
  <c r="N991" i="14"/>
  <c r="N992" i="14"/>
  <c r="N993" i="14"/>
  <c r="N994" i="14"/>
  <c r="N995" i="14"/>
  <c r="N996" i="14"/>
  <c r="N997" i="14"/>
  <c r="N998" i="14"/>
  <c r="N999" i="14"/>
  <c r="N1000" i="14"/>
  <c r="N1001" i="14"/>
  <c r="N1002" i="14"/>
  <c r="N1003" i="14"/>
  <c r="N1004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L96" i="14"/>
  <c r="L97" i="14"/>
  <c r="L98" i="14"/>
  <c r="L99" i="14"/>
  <c r="L100" i="14"/>
  <c r="L101" i="14"/>
  <c r="L102" i="14"/>
  <c r="L103" i="14"/>
  <c r="L104" i="14"/>
  <c r="L105" i="14"/>
  <c r="L106" i="14"/>
  <c r="L107" i="14"/>
  <c r="L108" i="14"/>
  <c r="L109" i="14"/>
  <c r="L110" i="14"/>
  <c r="L111" i="14"/>
  <c r="L112" i="14"/>
  <c r="L113" i="14"/>
  <c r="L114" i="14"/>
  <c r="L115" i="14"/>
  <c r="L116" i="14"/>
  <c r="L117" i="14"/>
  <c r="L118" i="14"/>
  <c r="L119" i="14"/>
  <c r="L120" i="14"/>
  <c r="L121" i="14"/>
  <c r="L122" i="14"/>
  <c r="L123" i="14"/>
  <c r="L124" i="14"/>
  <c r="L125" i="14"/>
  <c r="L126" i="14"/>
  <c r="L127" i="14"/>
  <c r="L128" i="14"/>
  <c r="L129" i="14"/>
  <c r="L130" i="14"/>
  <c r="L131" i="14"/>
  <c r="L132" i="14"/>
  <c r="L133" i="14"/>
  <c r="L134" i="14"/>
  <c r="L135" i="14"/>
  <c r="L136" i="14"/>
  <c r="L137" i="14"/>
  <c r="L138" i="14"/>
  <c r="L139" i="14"/>
  <c r="L140" i="14"/>
  <c r="L141" i="14"/>
  <c r="L142" i="14"/>
  <c r="L143" i="14"/>
  <c r="L144" i="14"/>
  <c r="L145" i="14"/>
  <c r="L146" i="14"/>
  <c r="L147" i="14"/>
  <c r="L148" i="14"/>
  <c r="L149" i="14"/>
  <c r="L150" i="14"/>
  <c r="L151" i="14"/>
  <c r="L152" i="14"/>
  <c r="L153" i="14"/>
  <c r="L154" i="14"/>
  <c r="L155" i="14"/>
  <c r="L156" i="14"/>
  <c r="L157" i="14"/>
  <c r="L158" i="14"/>
  <c r="L159" i="14"/>
  <c r="L160" i="14"/>
  <c r="L161" i="14"/>
  <c r="L162" i="14"/>
  <c r="L163" i="14"/>
  <c r="L164" i="14"/>
  <c r="L165" i="14"/>
  <c r="L166" i="14"/>
  <c r="L167" i="14"/>
  <c r="L168" i="14"/>
  <c r="L169" i="14"/>
  <c r="L170" i="14"/>
  <c r="L171" i="14"/>
  <c r="L172" i="14"/>
  <c r="L173" i="14"/>
  <c r="L174" i="14"/>
  <c r="L175" i="14"/>
  <c r="L176" i="14"/>
  <c r="L177" i="14"/>
  <c r="L178" i="14"/>
  <c r="L179" i="14"/>
  <c r="L180" i="14"/>
  <c r="L181" i="14"/>
  <c r="L182" i="14"/>
  <c r="L183" i="14"/>
  <c r="L184" i="14"/>
  <c r="L185" i="14"/>
  <c r="L186" i="14"/>
  <c r="L187" i="14"/>
  <c r="L188" i="14"/>
  <c r="L189" i="14"/>
  <c r="L190" i="14"/>
  <c r="L191" i="14"/>
  <c r="L192" i="14"/>
  <c r="L193" i="14"/>
  <c r="L194" i="14"/>
  <c r="L195" i="14"/>
  <c r="L196" i="14"/>
  <c r="L197" i="14"/>
  <c r="L198" i="14"/>
  <c r="L199" i="14"/>
  <c r="L200" i="14"/>
  <c r="L201" i="14"/>
  <c r="L202" i="14"/>
  <c r="L203" i="14"/>
  <c r="L204" i="14"/>
  <c r="L205" i="14"/>
  <c r="L206" i="14"/>
  <c r="L207" i="14"/>
  <c r="L208" i="14"/>
  <c r="L209" i="14"/>
  <c r="L210" i="14"/>
  <c r="L211" i="14"/>
  <c r="L212" i="14"/>
  <c r="L213" i="14"/>
  <c r="L214" i="14"/>
  <c r="L215" i="14"/>
  <c r="L216" i="14"/>
  <c r="L217" i="14"/>
  <c r="L218" i="14"/>
  <c r="L219" i="14"/>
  <c r="L220" i="14"/>
  <c r="L221" i="14"/>
  <c r="L222" i="14"/>
  <c r="L223" i="14"/>
  <c r="L224" i="14"/>
  <c r="L225" i="14"/>
  <c r="L226" i="14"/>
  <c r="L227" i="14"/>
  <c r="L228" i="14"/>
  <c r="L229" i="14"/>
  <c r="L230" i="14"/>
  <c r="L231" i="14"/>
  <c r="L232" i="14"/>
  <c r="L233" i="14"/>
  <c r="L234" i="14"/>
  <c r="L235" i="14"/>
  <c r="L236" i="14"/>
  <c r="L237" i="14"/>
  <c r="L238" i="14"/>
  <c r="L239" i="14"/>
  <c r="L240" i="14"/>
  <c r="L241" i="14"/>
  <c r="L242" i="14"/>
  <c r="L243" i="14"/>
  <c r="L244" i="14"/>
  <c r="L245" i="14"/>
  <c r="L246" i="14"/>
  <c r="L247" i="14"/>
  <c r="L248" i="14"/>
  <c r="L249" i="14"/>
  <c r="L250" i="14"/>
  <c r="L251" i="14"/>
  <c r="L252" i="14"/>
  <c r="L253" i="14"/>
  <c r="L254" i="14"/>
  <c r="L255" i="14"/>
  <c r="L256" i="14"/>
  <c r="L257" i="14"/>
  <c r="L258" i="14"/>
  <c r="L259" i="14"/>
  <c r="L260" i="14"/>
  <c r="L261" i="14"/>
  <c r="L262" i="14"/>
  <c r="L263" i="14"/>
  <c r="L264" i="14"/>
  <c r="L265" i="14"/>
  <c r="L266" i="14"/>
  <c r="L267" i="14"/>
  <c r="L268" i="14"/>
  <c r="L269" i="14"/>
  <c r="L270" i="14"/>
  <c r="L271" i="14"/>
  <c r="L272" i="14"/>
  <c r="L273" i="14"/>
  <c r="L274" i="14"/>
  <c r="L275" i="14"/>
  <c r="L276" i="14"/>
  <c r="L277" i="14"/>
  <c r="L278" i="14"/>
  <c r="L279" i="14"/>
  <c r="L280" i="14"/>
  <c r="L281" i="14"/>
  <c r="L282" i="14"/>
  <c r="L283" i="14"/>
  <c r="L284" i="14"/>
  <c r="L285" i="14"/>
  <c r="L286" i="14"/>
  <c r="L287" i="14"/>
  <c r="L288" i="14"/>
  <c r="L289" i="14"/>
  <c r="L290" i="14"/>
  <c r="L291" i="14"/>
  <c r="L292" i="14"/>
  <c r="L293" i="14"/>
  <c r="L294" i="14"/>
  <c r="L295" i="14"/>
  <c r="L296" i="14"/>
  <c r="L297" i="14"/>
  <c r="L298" i="14"/>
  <c r="L299" i="14"/>
  <c r="L300" i="14"/>
  <c r="L301" i="14"/>
  <c r="L302" i="14"/>
  <c r="L303" i="14"/>
  <c r="L304" i="14"/>
  <c r="L305" i="14"/>
  <c r="L306" i="14"/>
  <c r="L307" i="14"/>
  <c r="L308" i="14"/>
  <c r="L309" i="14"/>
  <c r="L310" i="14"/>
  <c r="L311" i="14"/>
  <c r="L312" i="14"/>
  <c r="L313" i="14"/>
  <c r="L314" i="14"/>
  <c r="L315" i="14"/>
  <c r="L316" i="14"/>
  <c r="L317" i="14"/>
  <c r="L318" i="14"/>
  <c r="L319" i="14"/>
  <c r="L320" i="14"/>
  <c r="L321" i="14"/>
  <c r="L322" i="14"/>
  <c r="L323" i="14"/>
  <c r="L324" i="14"/>
  <c r="L325" i="14"/>
  <c r="L326" i="14"/>
  <c r="L327" i="14"/>
  <c r="L328" i="14"/>
  <c r="L329" i="14"/>
  <c r="L330" i="14"/>
  <c r="L331" i="14"/>
  <c r="L332" i="14"/>
  <c r="L333" i="14"/>
  <c r="L334" i="14"/>
  <c r="L335" i="14"/>
  <c r="L336" i="14"/>
  <c r="L337" i="14"/>
  <c r="L338" i="14"/>
  <c r="L339" i="14"/>
  <c r="L340" i="14"/>
  <c r="L341" i="14"/>
  <c r="L342" i="14"/>
  <c r="L343" i="14"/>
  <c r="L344" i="14"/>
  <c r="L345" i="14"/>
  <c r="L346" i="14"/>
  <c r="L347" i="14"/>
  <c r="L348" i="14"/>
  <c r="L349" i="14"/>
  <c r="L350" i="14"/>
  <c r="L351" i="14"/>
  <c r="L352" i="14"/>
  <c r="L353" i="14"/>
  <c r="L354" i="14"/>
  <c r="L355" i="14"/>
  <c r="L356" i="14"/>
  <c r="L357" i="14"/>
  <c r="L358" i="14"/>
  <c r="L359" i="14"/>
  <c r="L360" i="14"/>
  <c r="L361" i="14"/>
  <c r="L362" i="14"/>
  <c r="L363" i="14"/>
  <c r="L364" i="14"/>
  <c r="L365" i="14"/>
  <c r="L366" i="14"/>
  <c r="L367" i="14"/>
  <c r="L368" i="14"/>
  <c r="L369" i="14"/>
  <c r="L370" i="14"/>
  <c r="L371" i="14"/>
  <c r="L372" i="14"/>
  <c r="L373" i="14"/>
  <c r="L374" i="14"/>
  <c r="L375" i="14"/>
  <c r="L376" i="14"/>
  <c r="L377" i="14"/>
  <c r="L378" i="14"/>
  <c r="L379" i="14"/>
  <c r="L380" i="14"/>
  <c r="L381" i="14"/>
  <c r="L382" i="14"/>
  <c r="L383" i="14"/>
  <c r="L384" i="14"/>
  <c r="L385" i="14"/>
  <c r="L386" i="14"/>
  <c r="L387" i="14"/>
  <c r="L388" i="14"/>
  <c r="L389" i="14"/>
  <c r="L390" i="14"/>
  <c r="L391" i="14"/>
  <c r="L392" i="14"/>
  <c r="L393" i="14"/>
  <c r="L394" i="14"/>
  <c r="L395" i="14"/>
  <c r="L396" i="14"/>
  <c r="L397" i="14"/>
  <c r="L398" i="14"/>
  <c r="L399" i="14"/>
  <c r="L400" i="14"/>
  <c r="L401" i="14"/>
  <c r="L402" i="14"/>
  <c r="L403" i="14"/>
  <c r="L404" i="14"/>
  <c r="L405" i="14"/>
  <c r="L406" i="14"/>
  <c r="L407" i="14"/>
  <c r="L408" i="14"/>
  <c r="L409" i="14"/>
  <c r="L410" i="14"/>
  <c r="L411" i="14"/>
  <c r="L412" i="14"/>
  <c r="L413" i="14"/>
  <c r="L414" i="14"/>
  <c r="L415" i="14"/>
  <c r="L416" i="14"/>
  <c r="L417" i="14"/>
  <c r="L418" i="14"/>
  <c r="L419" i="14"/>
  <c r="L420" i="14"/>
  <c r="L421" i="14"/>
  <c r="L422" i="14"/>
  <c r="L423" i="14"/>
  <c r="L424" i="14"/>
  <c r="L425" i="14"/>
  <c r="L426" i="14"/>
  <c r="L427" i="14"/>
  <c r="L428" i="14"/>
  <c r="L429" i="14"/>
  <c r="L430" i="14"/>
  <c r="L431" i="14"/>
  <c r="L432" i="14"/>
  <c r="L433" i="14"/>
  <c r="L434" i="14"/>
  <c r="L435" i="14"/>
  <c r="L436" i="14"/>
  <c r="L437" i="14"/>
  <c r="L438" i="14"/>
  <c r="L439" i="14"/>
  <c r="L440" i="14"/>
  <c r="L441" i="14"/>
  <c r="L442" i="14"/>
  <c r="L443" i="14"/>
  <c r="L444" i="14"/>
  <c r="L445" i="14"/>
  <c r="L446" i="14"/>
  <c r="L447" i="14"/>
  <c r="L448" i="14"/>
  <c r="L449" i="14"/>
  <c r="L450" i="14"/>
  <c r="L451" i="14"/>
  <c r="L452" i="14"/>
  <c r="L453" i="14"/>
  <c r="L454" i="14"/>
  <c r="L455" i="14"/>
  <c r="L456" i="14"/>
  <c r="L457" i="14"/>
  <c r="L458" i="14"/>
  <c r="L459" i="14"/>
  <c r="L460" i="14"/>
  <c r="L461" i="14"/>
  <c r="L462" i="14"/>
  <c r="L463" i="14"/>
  <c r="L464" i="14"/>
  <c r="L465" i="14"/>
  <c r="L466" i="14"/>
  <c r="L467" i="14"/>
  <c r="L468" i="14"/>
  <c r="L469" i="14"/>
  <c r="L470" i="14"/>
  <c r="L471" i="14"/>
  <c r="L472" i="14"/>
  <c r="L473" i="14"/>
  <c r="L474" i="14"/>
  <c r="L475" i="14"/>
  <c r="L476" i="14"/>
  <c r="L477" i="14"/>
  <c r="L478" i="14"/>
  <c r="L479" i="14"/>
  <c r="L480" i="14"/>
  <c r="L481" i="14"/>
  <c r="L482" i="14"/>
  <c r="L483" i="14"/>
  <c r="L484" i="14"/>
  <c r="L485" i="14"/>
  <c r="L486" i="14"/>
  <c r="L487" i="14"/>
  <c r="L488" i="14"/>
  <c r="L489" i="14"/>
  <c r="L490" i="14"/>
  <c r="L491" i="14"/>
  <c r="L492" i="14"/>
  <c r="L493" i="14"/>
  <c r="L494" i="14"/>
  <c r="L495" i="14"/>
  <c r="L496" i="14"/>
  <c r="L497" i="14"/>
  <c r="L498" i="14"/>
  <c r="L499" i="14"/>
  <c r="L500" i="14"/>
  <c r="L501" i="14"/>
  <c r="L502" i="14"/>
  <c r="L503" i="14"/>
  <c r="L504" i="14"/>
  <c r="L505" i="14"/>
  <c r="L506" i="14"/>
  <c r="L507" i="14"/>
  <c r="L508" i="14"/>
  <c r="L509" i="14"/>
  <c r="L510" i="14"/>
  <c r="L511" i="14"/>
  <c r="L512" i="14"/>
  <c r="L513" i="14"/>
  <c r="L514" i="14"/>
  <c r="L515" i="14"/>
  <c r="L516" i="14"/>
  <c r="L517" i="14"/>
  <c r="L518" i="14"/>
  <c r="L519" i="14"/>
  <c r="L520" i="14"/>
  <c r="L521" i="14"/>
  <c r="L522" i="14"/>
  <c r="L523" i="14"/>
  <c r="L524" i="14"/>
  <c r="L525" i="14"/>
  <c r="L526" i="14"/>
  <c r="L527" i="14"/>
  <c r="L528" i="14"/>
  <c r="L529" i="14"/>
  <c r="L530" i="14"/>
  <c r="L531" i="14"/>
  <c r="L532" i="14"/>
  <c r="L533" i="14"/>
  <c r="L534" i="14"/>
  <c r="L535" i="14"/>
  <c r="L536" i="14"/>
  <c r="L537" i="14"/>
  <c r="L538" i="14"/>
  <c r="L539" i="14"/>
  <c r="L540" i="14"/>
  <c r="L541" i="14"/>
  <c r="L542" i="14"/>
  <c r="L543" i="14"/>
  <c r="L544" i="14"/>
  <c r="L545" i="14"/>
  <c r="L546" i="14"/>
  <c r="L547" i="14"/>
  <c r="L548" i="14"/>
  <c r="L549" i="14"/>
  <c r="L550" i="14"/>
  <c r="L551" i="14"/>
  <c r="L552" i="14"/>
  <c r="L553" i="14"/>
  <c r="L554" i="14"/>
  <c r="L555" i="14"/>
  <c r="L556" i="14"/>
  <c r="L557" i="14"/>
  <c r="L558" i="14"/>
  <c r="L559" i="14"/>
  <c r="L560" i="14"/>
  <c r="L561" i="14"/>
  <c r="L562" i="14"/>
  <c r="L563" i="14"/>
  <c r="L564" i="14"/>
  <c r="L565" i="14"/>
  <c r="L566" i="14"/>
  <c r="L567" i="14"/>
  <c r="L568" i="14"/>
  <c r="L569" i="14"/>
  <c r="L570" i="14"/>
  <c r="L571" i="14"/>
  <c r="L572" i="14"/>
  <c r="L573" i="14"/>
  <c r="L574" i="14"/>
  <c r="L575" i="14"/>
  <c r="L576" i="14"/>
  <c r="L577" i="14"/>
  <c r="L578" i="14"/>
  <c r="L579" i="14"/>
  <c r="L580" i="14"/>
  <c r="L581" i="14"/>
  <c r="L582" i="14"/>
  <c r="L583" i="14"/>
  <c r="L584" i="14"/>
  <c r="L585" i="14"/>
  <c r="L586" i="14"/>
  <c r="L587" i="14"/>
  <c r="L588" i="14"/>
  <c r="L589" i="14"/>
  <c r="L590" i="14"/>
  <c r="L591" i="14"/>
  <c r="L592" i="14"/>
  <c r="L593" i="14"/>
  <c r="L594" i="14"/>
  <c r="L595" i="14"/>
  <c r="L596" i="14"/>
  <c r="L597" i="14"/>
  <c r="L598" i="14"/>
  <c r="L599" i="14"/>
  <c r="L600" i="14"/>
  <c r="L601" i="14"/>
  <c r="L602" i="14"/>
  <c r="L603" i="14"/>
  <c r="L604" i="14"/>
  <c r="L605" i="14"/>
  <c r="L606" i="14"/>
  <c r="L607" i="14"/>
  <c r="L608" i="14"/>
  <c r="L609" i="14"/>
  <c r="L610" i="14"/>
  <c r="L611" i="14"/>
  <c r="L612" i="14"/>
  <c r="L613" i="14"/>
  <c r="L614" i="14"/>
  <c r="L615" i="14"/>
  <c r="L616" i="14"/>
  <c r="L617" i="14"/>
  <c r="L618" i="14"/>
  <c r="L619" i="14"/>
  <c r="L620" i="14"/>
  <c r="L621" i="14"/>
  <c r="L622" i="14"/>
  <c r="L623" i="14"/>
  <c r="L624" i="14"/>
  <c r="L625" i="14"/>
  <c r="L626" i="14"/>
  <c r="L627" i="14"/>
  <c r="L628" i="14"/>
  <c r="L629" i="14"/>
  <c r="L630" i="14"/>
  <c r="L631" i="14"/>
  <c r="L632" i="14"/>
  <c r="L633" i="14"/>
  <c r="L634" i="14"/>
  <c r="L635" i="14"/>
  <c r="L636" i="14"/>
  <c r="L637" i="14"/>
  <c r="L638" i="14"/>
  <c r="L639" i="14"/>
  <c r="L640" i="14"/>
  <c r="L641" i="14"/>
  <c r="L642" i="14"/>
  <c r="L643" i="14"/>
  <c r="L644" i="14"/>
  <c r="L645" i="14"/>
  <c r="L646" i="14"/>
  <c r="L647" i="14"/>
  <c r="L648" i="14"/>
  <c r="L649" i="14"/>
  <c r="L650" i="14"/>
  <c r="L651" i="14"/>
  <c r="L652" i="14"/>
  <c r="L653" i="14"/>
  <c r="L654" i="14"/>
  <c r="L655" i="14"/>
  <c r="L656" i="14"/>
  <c r="L657" i="14"/>
  <c r="L658" i="14"/>
  <c r="L659" i="14"/>
  <c r="L660" i="14"/>
  <c r="L661" i="14"/>
  <c r="L662" i="14"/>
  <c r="L663" i="14"/>
  <c r="L664" i="14"/>
  <c r="L665" i="14"/>
  <c r="L666" i="14"/>
  <c r="L667" i="14"/>
  <c r="L668" i="14"/>
  <c r="L669" i="14"/>
  <c r="L670" i="14"/>
  <c r="L671" i="14"/>
  <c r="L672" i="14"/>
  <c r="L673" i="14"/>
  <c r="L674" i="14"/>
  <c r="L675" i="14"/>
  <c r="L676" i="14"/>
  <c r="L677" i="14"/>
  <c r="L678" i="14"/>
  <c r="L679" i="14"/>
  <c r="L680" i="14"/>
  <c r="L681" i="14"/>
  <c r="L682" i="14"/>
  <c r="L683" i="14"/>
  <c r="L684" i="14"/>
  <c r="L685" i="14"/>
  <c r="L686" i="14"/>
  <c r="L687" i="14"/>
  <c r="L688" i="14"/>
  <c r="L689" i="14"/>
  <c r="L690" i="14"/>
  <c r="L691" i="14"/>
  <c r="L692" i="14"/>
  <c r="L693" i="14"/>
  <c r="L694" i="14"/>
  <c r="L695" i="14"/>
  <c r="L696" i="14"/>
  <c r="L697" i="14"/>
  <c r="L698" i="14"/>
  <c r="L699" i="14"/>
  <c r="L700" i="14"/>
  <c r="L701" i="14"/>
  <c r="L702" i="14"/>
  <c r="L703" i="14"/>
  <c r="L704" i="14"/>
  <c r="L705" i="14"/>
  <c r="L706" i="14"/>
  <c r="L707" i="14"/>
  <c r="L708" i="14"/>
  <c r="L709" i="14"/>
  <c r="L710" i="14"/>
  <c r="L711" i="14"/>
  <c r="L712" i="14"/>
  <c r="L713" i="14"/>
  <c r="L714" i="14"/>
  <c r="L715" i="14"/>
  <c r="L716" i="14"/>
  <c r="L717" i="14"/>
  <c r="L718" i="14"/>
  <c r="L719" i="14"/>
  <c r="L720" i="14"/>
  <c r="L721" i="14"/>
  <c r="L722" i="14"/>
  <c r="L723" i="14"/>
  <c r="L724" i="14"/>
  <c r="L725" i="14"/>
  <c r="L726" i="14"/>
  <c r="L727" i="14"/>
  <c r="L728" i="14"/>
  <c r="L729" i="14"/>
  <c r="L730" i="14"/>
  <c r="L731" i="14"/>
  <c r="L732" i="14"/>
  <c r="L733" i="14"/>
  <c r="L734" i="14"/>
  <c r="L735" i="14"/>
  <c r="L736" i="14"/>
  <c r="L737" i="14"/>
  <c r="L738" i="14"/>
  <c r="L739" i="14"/>
  <c r="L740" i="14"/>
  <c r="L741" i="14"/>
  <c r="L742" i="14"/>
  <c r="L743" i="14"/>
  <c r="L744" i="14"/>
  <c r="L745" i="14"/>
  <c r="L746" i="14"/>
  <c r="L747" i="14"/>
  <c r="L748" i="14"/>
  <c r="L749" i="14"/>
  <c r="L750" i="14"/>
  <c r="L751" i="14"/>
  <c r="L752" i="14"/>
  <c r="L753" i="14"/>
  <c r="L754" i="14"/>
  <c r="L755" i="14"/>
  <c r="L756" i="14"/>
  <c r="L757" i="14"/>
  <c r="L758" i="14"/>
  <c r="L759" i="14"/>
  <c r="L760" i="14"/>
  <c r="L761" i="14"/>
  <c r="L762" i="14"/>
  <c r="L763" i="14"/>
  <c r="L764" i="14"/>
  <c r="L765" i="14"/>
  <c r="L766" i="14"/>
  <c r="L767" i="14"/>
  <c r="L768" i="14"/>
  <c r="L769" i="14"/>
  <c r="L770" i="14"/>
  <c r="L771" i="14"/>
  <c r="L772" i="14"/>
  <c r="L773" i="14"/>
  <c r="L774" i="14"/>
  <c r="L775" i="14"/>
  <c r="L776" i="14"/>
  <c r="L777" i="14"/>
  <c r="L778" i="14"/>
  <c r="L779" i="14"/>
  <c r="L780" i="14"/>
  <c r="L781" i="14"/>
  <c r="L782" i="14"/>
  <c r="L783" i="14"/>
  <c r="L784" i="14"/>
  <c r="L785" i="14"/>
  <c r="L786" i="14"/>
  <c r="L787" i="14"/>
  <c r="L788" i="14"/>
  <c r="L789" i="14"/>
  <c r="L790" i="14"/>
  <c r="L791" i="14"/>
  <c r="L792" i="14"/>
  <c r="L793" i="14"/>
  <c r="L794" i="14"/>
  <c r="L795" i="14"/>
  <c r="L796" i="14"/>
  <c r="L797" i="14"/>
  <c r="L798" i="14"/>
  <c r="L799" i="14"/>
  <c r="L800" i="14"/>
  <c r="L801" i="14"/>
  <c r="L802" i="14"/>
  <c r="L803" i="14"/>
  <c r="L804" i="14"/>
  <c r="L805" i="14"/>
  <c r="L806" i="14"/>
  <c r="L807" i="14"/>
  <c r="L808" i="14"/>
  <c r="L809" i="14"/>
  <c r="L810" i="14"/>
  <c r="L811" i="14"/>
  <c r="L812" i="14"/>
  <c r="L813" i="14"/>
  <c r="L814" i="14"/>
  <c r="L815" i="14"/>
  <c r="L816" i="14"/>
  <c r="L817" i="14"/>
  <c r="L818" i="14"/>
  <c r="L819" i="14"/>
  <c r="L820" i="14"/>
  <c r="L821" i="14"/>
  <c r="L822" i="14"/>
  <c r="L823" i="14"/>
  <c r="L824" i="14"/>
  <c r="L825" i="14"/>
  <c r="L826" i="14"/>
  <c r="L827" i="14"/>
  <c r="L828" i="14"/>
  <c r="L829" i="14"/>
  <c r="L830" i="14"/>
  <c r="L831" i="14"/>
  <c r="L832" i="14"/>
  <c r="L833" i="14"/>
  <c r="L834" i="14"/>
  <c r="L835" i="14"/>
  <c r="L836" i="14"/>
  <c r="L837" i="14"/>
  <c r="L838" i="14"/>
  <c r="L839" i="14"/>
  <c r="L840" i="14"/>
  <c r="L841" i="14"/>
  <c r="L842" i="14"/>
  <c r="L843" i="14"/>
  <c r="L844" i="14"/>
  <c r="L845" i="14"/>
  <c r="L846" i="14"/>
  <c r="L847" i="14"/>
  <c r="L848" i="14"/>
  <c r="L849" i="14"/>
  <c r="L850" i="14"/>
  <c r="L851" i="14"/>
  <c r="L852" i="14"/>
  <c r="L853" i="14"/>
  <c r="L854" i="14"/>
  <c r="L855" i="14"/>
  <c r="L856" i="14"/>
  <c r="L857" i="14"/>
  <c r="L858" i="14"/>
  <c r="L859" i="14"/>
  <c r="L860" i="14"/>
  <c r="L861" i="14"/>
  <c r="L862" i="14"/>
  <c r="L863" i="14"/>
  <c r="L864" i="14"/>
  <c r="L865" i="14"/>
  <c r="L866" i="14"/>
  <c r="L867" i="14"/>
  <c r="L868" i="14"/>
  <c r="L869" i="14"/>
  <c r="L870" i="14"/>
  <c r="L871" i="14"/>
  <c r="L872" i="14"/>
  <c r="L873" i="14"/>
  <c r="L874" i="14"/>
  <c r="L875" i="14"/>
  <c r="L876" i="14"/>
  <c r="L877" i="14"/>
  <c r="L878" i="14"/>
  <c r="L879" i="14"/>
  <c r="L880" i="14"/>
  <c r="L881" i="14"/>
  <c r="L882" i="14"/>
  <c r="L883" i="14"/>
  <c r="L884" i="14"/>
  <c r="L885" i="14"/>
  <c r="L886" i="14"/>
  <c r="L887" i="14"/>
  <c r="L888" i="14"/>
  <c r="L889" i="14"/>
  <c r="L890" i="14"/>
  <c r="L891" i="14"/>
  <c r="L892" i="14"/>
  <c r="L893" i="14"/>
  <c r="L894" i="14"/>
  <c r="L895" i="14"/>
  <c r="L896" i="14"/>
  <c r="L897" i="14"/>
  <c r="L898" i="14"/>
  <c r="L899" i="14"/>
  <c r="L900" i="14"/>
  <c r="L901" i="14"/>
  <c r="L902" i="14"/>
  <c r="L903" i="14"/>
  <c r="L904" i="14"/>
  <c r="L905" i="14"/>
  <c r="L906" i="14"/>
  <c r="L907" i="14"/>
  <c r="L908" i="14"/>
  <c r="L909" i="14"/>
  <c r="L910" i="14"/>
  <c r="L911" i="14"/>
  <c r="L912" i="14"/>
  <c r="L913" i="14"/>
  <c r="L914" i="14"/>
  <c r="L915" i="14"/>
  <c r="L916" i="14"/>
  <c r="L917" i="14"/>
  <c r="L918" i="14"/>
  <c r="L919" i="14"/>
  <c r="L920" i="14"/>
  <c r="L921" i="14"/>
  <c r="L922" i="14"/>
  <c r="L923" i="14"/>
  <c r="L924" i="14"/>
  <c r="L925" i="14"/>
  <c r="L926" i="14"/>
  <c r="L927" i="14"/>
  <c r="L928" i="14"/>
  <c r="L929" i="14"/>
  <c r="L930" i="14"/>
  <c r="L931" i="14"/>
  <c r="L932" i="14"/>
  <c r="L933" i="14"/>
  <c r="L934" i="14"/>
  <c r="L935" i="14"/>
  <c r="L936" i="14"/>
  <c r="L937" i="14"/>
  <c r="L938" i="14"/>
  <c r="L939" i="14"/>
  <c r="L940" i="14"/>
  <c r="L941" i="14"/>
  <c r="L942" i="14"/>
  <c r="L943" i="14"/>
  <c r="L944" i="14"/>
  <c r="L945" i="14"/>
  <c r="L946" i="14"/>
  <c r="L947" i="14"/>
  <c r="L948" i="14"/>
  <c r="L949" i="14"/>
  <c r="L950" i="14"/>
  <c r="L951" i="14"/>
  <c r="L952" i="14"/>
  <c r="L953" i="14"/>
  <c r="L954" i="14"/>
  <c r="L955" i="14"/>
  <c r="L956" i="14"/>
  <c r="L957" i="14"/>
  <c r="L958" i="14"/>
  <c r="L959" i="14"/>
  <c r="L960" i="14"/>
  <c r="L961" i="14"/>
  <c r="L962" i="14"/>
  <c r="L963" i="14"/>
  <c r="L964" i="14"/>
  <c r="L965" i="14"/>
  <c r="L966" i="14"/>
  <c r="L967" i="14"/>
  <c r="L968" i="14"/>
  <c r="L969" i="14"/>
  <c r="L970" i="14"/>
  <c r="L971" i="14"/>
  <c r="L972" i="14"/>
  <c r="L973" i="14"/>
  <c r="L974" i="14"/>
  <c r="L975" i="14"/>
  <c r="L976" i="14"/>
  <c r="L977" i="14"/>
  <c r="L978" i="14"/>
  <c r="L979" i="14"/>
  <c r="L980" i="14"/>
  <c r="L981" i="14"/>
  <c r="L982" i="14"/>
  <c r="L983" i="14"/>
  <c r="L984" i="14"/>
  <c r="L985" i="14"/>
  <c r="L986" i="14"/>
  <c r="L987" i="14"/>
  <c r="L988" i="14"/>
  <c r="L989" i="14"/>
  <c r="L990" i="14"/>
  <c r="L991" i="14"/>
  <c r="L992" i="14"/>
  <c r="L993" i="14"/>
  <c r="L994" i="14"/>
  <c r="L995" i="14"/>
  <c r="L996" i="14"/>
  <c r="L997" i="14"/>
  <c r="L998" i="14"/>
  <c r="L999" i="14"/>
  <c r="L1000" i="14"/>
  <c r="L1001" i="14"/>
  <c r="L1002" i="14"/>
  <c r="L1003" i="14"/>
  <c r="L1004" i="14"/>
  <c r="N793" i="20"/>
  <c r="N794" i="20"/>
  <c r="N795" i="20"/>
  <c r="N796" i="20"/>
  <c r="N797" i="20"/>
  <c r="N798" i="20"/>
  <c r="N799" i="20"/>
  <c r="N800" i="20"/>
  <c r="N801" i="20"/>
  <c r="N802" i="20"/>
  <c r="N803" i="20"/>
  <c r="N804" i="20"/>
  <c r="N805" i="20"/>
  <c r="N806" i="20"/>
  <c r="N807" i="20"/>
  <c r="N808" i="20"/>
  <c r="N809" i="20"/>
  <c r="N810" i="20"/>
  <c r="N811" i="20"/>
  <c r="N812" i="20"/>
  <c r="N813" i="20"/>
  <c r="N814" i="20"/>
  <c r="N815" i="20"/>
  <c r="N816" i="20"/>
  <c r="N817" i="20"/>
  <c r="N818" i="20"/>
  <c r="N819" i="20"/>
  <c r="N820" i="20"/>
  <c r="N821" i="20"/>
  <c r="N822" i="20"/>
  <c r="N823" i="20"/>
  <c r="N824" i="20"/>
  <c r="N825" i="20"/>
  <c r="N826" i="20"/>
  <c r="N827" i="20"/>
  <c r="N828" i="20"/>
  <c r="N829" i="20"/>
  <c r="N830" i="20"/>
  <c r="N831" i="20"/>
  <c r="N832" i="20"/>
  <c r="N833" i="20"/>
  <c r="N834" i="20"/>
  <c r="N835" i="20"/>
  <c r="N836" i="20"/>
  <c r="N837" i="20"/>
  <c r="N838" i="20"/>
  <c r="N839" i="20"/>
  <c r="N840" i="20"/>
  <c r="N841" i="20"/>
  <c r="N842" i="20"/>
  <c r="N843" i="20"/>
  <c r="N844" i="20"/>
  <c r="N845" i="20"/>
  <c r="N846" i="20"/>
  <c r="N847" i="20"/>
  <c r="N848" i="20"/>
  <c r="N849" i="20"/>
  <c r="N850" i="20"/>
  <c r="N851" i="20"/>
  <c r="N852" i="20"/>
  <c r="N853" i="20"/>
  <c r="N854" i="20"/>
  <c r="N855" i="20"/>
  <c r="N856" i="20"/>
  <c r="N857" i="20"/>
  <c r="N858" i="20"/>
  <c r="N859" i="20"/>
  <c r="N860" i="20"/>
  <c r="N861" i="20"/>
  <c r="N862" i="20"/>
  <c r="N863" i="20"/>
  <c r="N864" i="20"/>
  <c r="N865" i="20"/>
  <c r="N866" i="20"/>
  <c r="N867" i="20"/>
  <c r="N868" i="20"/>
  <c r="N869" i="20"/>
  <c r="N870" i="20"/>
  <c r="N871" i="20"/>
  <c r="N872" i="20"/>
  <c r="N873" i="20"/>
  <c r="N874" i="20"/>
  <c r="N875" i="20"/>
  <c r="N876" i="20"/>
  <c r="N877" i="20"/>
  <c r="N878" i="20"/>
  <c r="N879" i="20"/>
  <c r="N880" i="20"/>
  <c r="N881" i="20"/>
  <c r="N882" i="20"/>
  <c r="N883" i="20"/>
  <c r="N884" i="20"/>
  <c r="N885" i="20"/>
  <c r="N886" i="20"/>
  <c r="N887" i="20"/>
  <c r="N888" i="20"/>
  <c r="N889" i="20"/>
  <c r="N890" i="20"/>
  <c r="N891" i="20"/>
  <c r="N892" i="20"/>
  <c r="N893" i="20"/>
  <c r="N894" i="20"/>
  <c r="N895" i="20"/>
  <c r="N896" i="20"/>
  <c r="N897" i="20"/>
  <c r="N898" i="20"/>
  <c r="N899" i="20"/>
  <c r="N900" i="20"/>
  <c r="N901" i="20"/>
  <c r="N902" i="20"/>
  <c r="N903" i="20"/>
  <c r="N904" i="20"/>
  <c r="N905" i="20"/>
  <c r="N906" i="20"/>
  <c r="N907" i="20"/>
  <c r="N908" i="20"/>
  <c r="N909" i="20"/>
  <c r="N910" i="20"/>
  <c r="N911" i="20"/>
  <c r="N912" i="20"/>
  <c r="N913" i="20"/>
  <c r="N914" i="20"/>
  <c r="N915" i="20"/>
  <c r="N916" i="20"/>
  <c r="N917" i="20"/>
  <c r="N918" i="20"/>
  <c r="N919" i="20"/>
  <c r="N920" i="20"/>
  <c r="N921" i="20"/>
  <c r="N922" i="20"/>
  <c r="N923" i="20"/>
  <c r="N924" i="20"/>
  <c r="N925" i="20"/>
  <c r="N926" i="20"/>
  <c r="N927" i="20"/>
  <c r="N928" i="20"/>
  <c r="N929" i="20"/>
  <c r="N930" i="20"/>
  <c r="N931" i="20"/>
  <c r="N932" i="20"/>
  <c r="N933" i="20"/>
  <c r="N934" i="20"/>
  <c r="N935" i="20"/>
  <c r="N936" i="20"/>
  <c r="N937" i="20"/>
  <c r="N938" i="20"/>
  <c r="N939" i="20"/>
  <c r="N940" i="20"/>
  <c r="N941" i="20"/>
  <c r="N942" i="20"/>
  <c r="N943" i="20"/>
  <c r="N944" i="20"/>
  <c r="N945" i="20"/>
  <c r="N946" i="20"/>
  <c r="N947" i="20"/>
  <c r="N948" i="20"/>
  <c r="N949" i="20"/>
  <c r="N950" i="20"/>
  <c r="N951" i="20"/>
  <c r="N952" i="20"/>
  <c r="N953" i="20"/>
  <c r="N954" i="20"/>
  <c r="N955" i="20"/>
  <c r="N956" i="20"/>
  <c r="N957" i="20"/>
  <c r="N958" i="20"/>
  <c r="N959" i="20"/>
  <c r="N960" i="20"/>
  <c r="N961" i="20"/>
  <c r="N962" i="20"/>
  <c r="N963" i="20"/>
  <c r="N964" i="20"/>
  <c r="N965" i="20"/>
  <c r="N966" i="20"/>
  <c r="N967" i="20"/>
  <c r="N968" i="20"/>
  <c r="N969" i="20"/>
  <c r="N970" i="20"/>
  <c r="N971" i="20"/>
  <c r="N972" i="20"/>
  <c r="N973" i="20"/>
  <c r="N974" i="20"/>
  <c r="N975" i="20"/>
  <c r="N976" i="20"/>
  <c r="N977" i="20"/>
  <c r="N978" i="20"/>
  <c r="N979" i="20"/>
  <c r="N980" i="20"/>
  <c r="N981" i="20"/>
  <c r="N982" i="20"/>
  <c r="N983" i="20"/>
  <c r="N984" i="20"/>
  <c r="N985" i="20"/>
  <c r="N986" i="20"/>
  <c r="N987" i="20"/>
  <c r="N988" i="20"/>
  <c r="N989" i="20"/>
  <c r="N990" i="20"/>
  <c r="N991" i="20"/>
  <c r="N992" i="20"/>
  <c r="N993" i="20"/>
  <c r="N994" i="20"/>
  <c r="N995" i="20"/>
  <c r="N996" i="20"/>
  <c r="N997" i="20"/>
  <c r="N998" i="20"/>
  <c r="N999" i="20"/>
  <c r="N1000" i="20"/>
  <c r="N1001" i="20"/>
  <c r="N1002" i="20"/>
  <c r="N1003" i="20"/>
  <c r="N1004" i="20"/>
  <c r="L7" i="20"/>
  <c r="L8" i="20"/>
  <c r="L9" i="20"/>
  <c r="L10" i="20"/>
  <c r="L11" i="20"/>
  <c r="L1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37" i="20"/>
  <c r="L38" i="20"/>
  <c r="L39" i="20"/>
  <c r="L40" i="20"/>
  <c r="L41" i="20"/>
  <c r="L42" i="20"/>
  <c r="L43" i="20"/>
  <c r="L44" i="20"/>
  <c r="L45" i="20"/>
  <c r="L46" i="20"/>
  <c r="L47" i="20"/>
  <c r="L48" i="20"/>
  <c r="L49" i="20"/>
  <c r="L50" i="20"/>
  <c r="L51" i="20"/>
  <c r="L52" i="20"/>
  <c r="L53" i="20"/>
  <c r="L54" i="20"/>
  <c r="L55" i="20"/>
  <c r="L56" i="20"/>
  <c r="L57" i="20"/>
  <c r="L58" i="20"/>
  <c r="L59" i="20"/>
  <c r="L60" i="20"/>
  <c r="L61" i="20"/>
  <c r="L62" i="20"/>
  <c r="L63" i="20"/>
  <c r="L64" i="20"/>
  <c r="L65" i="20"/>
  <c r="L66" i="20"/>
  <c r="L67" i="20"/>
  <c r="L68" i="20"/>
  <c r="L69" i="20"/>
  <c r="L70" i="20"/>
  <c r="L71" i="20"/>
  <c r="L72" i="20"/>
  <c r="L73" i="20"/>
  <c r="L74" i="20"/>
  <c r="L75" i="20"/>
  <c r="L76" i="20"/>
  <c r="L77" i="20"/>
  <c r="L78" i="20"/>
  <c r="L79" i="20"/>
  <c r="L80" i="20"/>
  <c r="L81" i="20"/>
  <c r="L82" i="20"/>
  <c r="L83" i="20"/>
  <c r="L84" i="20"/>
  <c r="L85" i="20"/>
  <c r="L86" i="20"/>
  <c r="L87" i="20"/>
  <c r="L88" i="20"/>
  <c r="L89" i="20"/>
  <c r="L90" i="20"/>
  <c r="L91" i="20"/>
  <c r="L92" i="20"/>
  <c r="L93" i="20"/>
  <c r="L94" i="20"/>
  <c r="L95" i="20"/>
  <c r="L96" i="20"/>
  <c r="L97" i="20"/>
  <c r="L98" i="20"/>
  <c r="L99" i="20"/>
  <c r="L100" i="20"/>
  <c r="L101" i="20"/>
  <c r="L102" i="20"/>
  <c r="L103" i="20"/>
  <c r="L104" i="20"/>
  <c r="L105" i="20"/>
  <c r="L106" i="20"/>
  <c r="L107" i="20"/>
  <c r="L108" i="20"/>
  <c r="L109" i="20"/>
  <c r="L110" i="20"/>
  <c r="L111" i="20"/>
  <c r="L112" i="20"/>
  <c r="L113" i="20"/>
  <c r="L114" i="20"/>
  <c r="L115" i="20"/>
  <c r="L116" i="20"/>
  <c r="L117" i="20"/>
  <c r="L118" i="20"/>
  <c r="L119" i="20"/>
  <c r="L120" i="20"/>
  <c r="L121" i="20"/>
  <c r="L122" i="20"/>
  <c r="L123" i="20"/>
  <c r="L124" i="20"/>
  <c r="L125" i="20"/>
  <c r="L126" i="20"/>
  <c r="L127" i="20"/>
  <c r="L128" i="20"/>
  <c r="L129" i="20"/>
  <c r="L130" i="20"/>
  <c r="L131" i="20"/>
  <c r="L132" i="20"/>
  <c r="L133" i="20"/>
  <c r="L134" i="20"/>
  <c r="L135" i="20"/>
  <c r="L136" i="20"/>
  <c r="L137" i="20"/>
  <c r="L138" i="20"/>
  <c r="L139" i="20"/>
  <c r="L140" i="20"/>
  <c r="L141" i="20"/>
  <c r="L142" i="20"/>
  <c r="L143" i="20"/>
  <c r="L144" i="20"/>
  <c r="L145" i="20"/>
  <c r="L146" i="20"/>
  <c r="L147" i="20"/>
  <c r="L148" i="20"/>
  <c r="L149" i="20"/>
  <c r="L150" i="20"/>
  <c r="L151" i="20"/>
  <c r="L152" i="20"/>
  <c r="L153" i="20"/>
  <c r="L154" i="20"/>
  <c r="L155" i="20"/>
  <c r="L156" i="20"/>
  <c r="L157" i="20"/>
  <c r="L158" i="20"/>
  <c r="L159" i="20"/>
  <c r="L160" i="20"/>
  <c r="L161" i="20"/>
  <c r="L162" i="20"/>
  <c r="L163" i="20"/>
  <c r="L164" i="20"/>
  <c r="L165" i="20"/>
  <c r="L166" i="20"/>
  <c r="L167" i="20"/>
  <c r="L168" i="20"/>
  <c r="L169" i="20"/>
  <c r="L170" i="20"/>
  <c r="L171" i="20"/>
  <c r="L172" i="20"/>
  <c r="L173" i="20"/>
  <c r="L174" i="20"/>
  <c r="L175" i="20"/>
  <c r="L176" i="20"/>
  <c r="L177" i="20"/>
  <c r="L178" i="20"/>
  <c r="L179" i="20"/>
  <c r="L180" i="20"/>
  <c r="L181" i="20"/>
  <c r="L182" i="20"/>
  <c r="L183" i="20"/>
  <c r="L184" i="20"/>
  <c r="L185" i="20"/>
  <c r="L186" i="20"/>
  <c r="L187" i="20"/>
  <c r="L188" i="20"/>
  <c r="L189" i="20"/>
  <c r="L190" i="20"/>
  <c r="L191" i="20"/>
  <c r="L192" i="20"/>
  <c r="L193" i="20"/>
  <c r="L194" i="20"/>
  <c r="L195" i="20"/>
  <c r="L196" i="20"/>
  <c r="L197" i="20"/>
  <c r="L198" i="20"/>
  <c r="L199" i="20"/>
  <c r="L200" i="20"/>
  <c r="L201" i="20"/>
  <c r="L202" i="20"/>
  <c r="L203" i="20"/>
  <c r="L204" i="20"/>
  <c r="L205" i="20"/>
  <c r="L206" i="20"/>
  <c r="L207" i="20"/>
  <c r="L208" i="20"/>
  <c r="L209" i="20"/>
  <c r="L210" i="20"/>
  <c r="L211" i="20"/>
  <c r="L212" i="20"/>
  <c r="L213" i="20"/>
  <c r="L214" i="20"/>
  <c r="L215" i="20"/>
  <c r="L216" i="20"/>
  <c r="L217" i="20"/>
  <c r="L218" i="20"/>
  <c r="L219" i="20"/>
  <c r="L220" i="20"/>
  <c r="L221" i="20"/>
  <c r="L222" i="20"/>
  <c r="L223" i="20"/>
  <c r="L224" i="20"/>
  <c r="L225" i="20"/>
  <c r="L226" i="20"/>
  <c r="L227" i="20"/>
  <c r="L228" i="20"/>
  <c r="L229" i="20"/>
  <c r="L230" i="20"/>
  <c r="L231" i="20"/>
  <c r="L232" i="20"/>
  <c r="L233" i="20"/>
  <c r="L234" i="20"/>
  <c r="L235" i="20"/>
  <c r="L236" i="20"/>
  <c r="L237" i="20"/>
  <c r="L238" i="20"/>
  <c r="L239" i="20"/>
  <c r="L240" i="20"/>
  <c r="L241" i="20"/>
  <c r="L242" i="20"/>
  <c r="L243" i="20"/>
  <c r="L244" i="20"/>
  <c r="L245" i="20"/>
  <c r="L246" i="20"/>
  <c r="L247" i="20"/>
  <c r="L248" i="20"/>
  <c r="L249" i="20"/>
  <c r="L250" i="20"/>
  <c r="L251" i="20"/>
  <c r="L252" i="20"/>
  <c r="L253" i="20"/>
  <c r="L254" i="20"/>
  <c r="L255" i="20"/>
  <c r="L256" i="20"/>
  <c r="L257" i="20"/>
  <c r="L258" i="20"/>
  <c r="L259" i="20"/>
  <c r="L260" i="20"/>
  <c r="L261" i="20"/>
  <c r="L262" i="20"/>
  <c r="L263" i="20"/>
  <c r="L264" i="20"/>
  <c r="L265" i="20"/>
  <c r="L266" i="20"/>
  <c r="L267" i="20"/>
  <c r="L268" i="20"/>
  <c r="L269" i="20"/>
  <c r="L270" i="20"/>
  <c r="L271" i="20"/>
  <c r="L272" i="20"/>
  <c r="L273" i="20"/>
  <c r="L274" i="20"/>
  <c r="L275" i="20"/>
  <c r="L276" i="20"/>
  <c r="L277" i="20"/>
  <c r="L278" i="20"/>
  <c r="L279" i="20"/>
  <c r="L280" i="20"/>
  <c r="L281" i="20"/>
  <c r="L282" i="20"/>
  <c r="L283" i="20"/>
  <c r="L284" i="20"/>
  <c r="L285" i="20"/>
  <c r="L286" i="20"/>
  <c r="L287" i="20"/>
  <c r="L288" i="20"/>
  <c r="L289" i="20"/>
  <c r="L290" i="20"/>
  <c r="L291" i="20"/>
  <c r="L292" i="20"/>
  <c r="L293" i="20"/>
  <c r="L294" i="20"/>
  <c r="L295" i="20"/>
  <c r="L296" i="20"/>
  <c r="L297" i="20"/>
  <c r="L298" i="20"/>
  <c r="L299" i="20"/>
  <c r="L300" i="20"/>
  <c r="L301" i="20"/>
  <c r="L302" i="20"/>
  <c r="L303" i="20"/>
  <c r="L304" i="20"/>
  <c r="L305" i="20"/>
  <c r="L306" i="20"/>
  <c r="L307" i="20"/>
  <c r="L308" i="20"/>
  <c r="L309" i="20"/>
  <c r="L310" i="20"/>
  <c r="L311" i="20"/>
  <c r="L312" i="20"/>
  <c r="L313" i="20"/>
  <c r="L314" i="20"/>
  <c r="L315" i="20"/>
  <c r="L316" i="20"/>
  <c r="L317" i="20"/>
  <c r="L318" i="20"/>
  <c r="L319" i="20"/>
  <c r="L320" i="20"/>
  <c r="L321" i="20"/>
  <c r="L322" i="20"/>
  <c r="L323" i="20"/>
  <c r="L324" i="20"/>
  <c r="L325" i="20"/>
  <c r="L326" i="20"/>
  <c r="L327" i="20"/>
  <c r="L328" i="20"/>
  <c r="L329" i="20"/>
  <c r="L330" i="20"/>
  <c r="L331" i="20"/>
  <c r="L332" i="20"/>
  <c r="L333" i="20"/>
  <c r="L334" i="20"/>
  <c r="L335" i="20"/>
  <c r="L336" i="20"/>
  <c r="L337" i="20"/>
  <c r="L338" i="20"/>
  <c r="L339" i="20"/>
  <c r="L340" i="20"/>
  <c r="L341" i="20"/>
  <c r="L342" i="20"/>
  <c r="L343" i="20"/>
  <c r="L344" i="20"/>
  <c r="L345" i="20"/>
  <c r="L346" i="20"/>
  <c r="L347" i="20"/>
  <c r="L348" i="20"/>
  <c r="L349" i="20"/>
  <c r="L350" i="20"/>
  <c r="L351" i="20"/>
  <c r="L352" i="20"/>
  <c r="L353" i="20"/>
  <c r="L354" i="20"/>
  <c r="L355" i="20"/>
  <c r="L356" i="20"/>
  <c r="L357" i="20"/>
  <c r="L358" i="20"/>
  <c r="L359" i="20"/>
  <c r="L360" i="20"/>
  <c r="L361" i="20"/>
  <c r="L362" i="20"/>
  <c r="L363" i="20"/>
  <c r="L364" i="20"/>
  <c r="L365" i="20"/>
  <c r="L366" i="20"/>
  <c r="L367" i="20"/>
  <c r="L368" i="20"/>
  <c r="L369" i="20"/>
  <c r="L370" i="20"/>
  <c r="L371" i="20"/>
  <c r="L372" i="20"/>
  <c r="L373" i="20"/>
  <c r="L374" i="20"/>
  <c r="L375" i="20"/>
  <c r="L376" i="20"/>
  <c r="L377" i="20"/>
  <c r="L378" i="20"/>
  <c r="L379" i="20"/>
  <c r="L380" i="20"/>
  <c r="L381" i="20"/>
  <c r="L382" i="20"/>
  <c r="L383" i="20"/>
  <c r="L384" i="20"/>
  <c r="L385" i="20"/>
  <c r="L386" i="20"/>
  <c r="L387" i="20"/>
  <c r="L388" i="20"/>
  <c r="L389" i="20"/>
  <c r="L390" i="20"/>
  <c r="L391" i="20"/>
  <c r="L392" i="20"/>
  <c r="L393" i="20"/>
  <c r="L394" i="20"/>
  <c r="L395" i="20"/>
  <c r="L396" i="20"/>
  <c r="L397" i="20"/>
  <c r="L398" i="20"/>
  <c r="L399" i="20"/>
  <c r="L400" i="20"/>
  <c r="L401" i="20"/>
  <c r="L402" i="20"/>
  <c r="L403" i="20"/>
  <c r="L404" i="20"/>
  <c r="L405" i="20"/>
  <c r="L406" i="20"/>
  <c r="L407" i="20"/>
  <c r="L408" i="20"/>
  <c r="L409" i="20"/>
  <c r="L410" i="20"/>
  <c r="L411" i="20"/>
  <c r="L412" i="20"/>
  <c r="L413" i="20"/>
  <c r="L414" i="20"/>
  <c r="L415" i="20"/>
  <c r="L416" i="20"/>
  <c r="L417" i="20"/>
  <c r="L418" i="20"/>
  <c r="L419" i="20"/>
  <c r="L420" i="20"/>
  <c r="L421" i="20"/>
  <c r="L422" i="20"/>
  <c r="L423" i="20"/>
  <c r="L424" i="20"/>
  <c r="L425" i="20"/>
  <c r="L426" i="20"/>
  <c r="L427" i="20"/>
  <c r="L428" i="20"/>
  <c r="L429" i="20"/>
  <c r="L430" i="20"/>
  <c r="L431" i="20"/>
  <c r="L432" i="20"/>
  <c r="L433" i="20"/>
  <c r="L434" i="20"/>
  <c r="L435" i="20"/>
  <c r="L436" i="20"/>
  <c r="L437" i="20"/>
  <c r="L438" i="20"/>
  <c r="L439" i="20"/>
  <c r="L440" i="20"/>
  <c r="L441" i="20"/>
  <c r="L442" i="20"/>
  <c r="L443" i="20"/>
  <c r="L444" i="20"/>
  <c r="L445" i="20"/>
  <c r="L446" i="20"/>
  <c r="L447" i="20"/>
  <c r="L448" i="20"/>
  <c r="L449" i="20"/>
  <c r="L450" i="20"/>
  <c r="L451" i="20"/>
  <c r="L452" i="20"/>
  <c r="L453" i="20"/>
  <c r="L454" i="20"/>
  <c r="L455" i="20"/>
  <c r="L456" i="20"/>
  <c r="L457" i="20"/>
  <c r="L458" i="20"/>
  <c r="L459" i="20"/>
  <c r="L460" i="20"/>
  <c r="L461" i="20"/>
  <c r="L462" i="20"/>
  <c r="L463" i="20"/>
  <c r="L464" i="20"/>
  <c r="L465" i="20"/>
  <c r="L466" i="20"/>
  <c r="L467" i="20"/>
  <c r="L468" i="20"/>
  <c r="L469" i="20"/>
  <c r="L470" i="20"/>
  <c r="L471" i="20"/>
  <c r="L472" i="20"/>
  <c r="L473" i="20"/>
  <c r="L474" i="20"/>
  <c r="L475" i="20"/>
  <c r="L476" i="20"/>
  <c r="L477" i="20"/>
  <c r="L478" i="20"/>
  <c r="L479" i="20"/>
  <c r="L480" i="20"/>
  <c r="L481" i="20"/>
  <c r="L482" i="20"/>
  <c r="L483" i="20"/>
  <c r="L484" i="20"/>
  <c r="L485" i="20"/>
  <c r="L486" i="20"/>
  <c r="L487" i="20"/>
  <c r="L488" i="20"/>
  <c r="L489" i="20"/>
  <c r="L490" i="20"/>
  <c r="L491" i="20"/>
  <c r="L492" i="20"/>
  <c r="L493" i="20"/>
  <c r="L494" i="20"/>
  <c r="L495" i="20"/>
  <c r="L496" i="20"/>
  <c r="L497" i="20"/>
  <c r="L498" i="20"/>
  <c r="L499" i="20"/>
  <c r="L500" i="20"/>
  <c r="L501" i="20"/>
  <c r="L502" i="20"/>
  <c r="L503" i="20"/>
  <c r="L504" i="20"/>
  <c r="L505" i="20"/>
  <c r="L506" i="20"/>
  <c r="L507" i="20"/>
  <c r="L508" i="20"/>
  <c r="L509" i="20"/>
  <c r="L510" i="20"/>
  <c r="L511" i="20"/>
  <c r="L512" i="20"/>
  <c r="L513" i="20"/>
  <c r="L514" i="20"/>
  <c r="L515" i="20"/>
  <c r="L516" i="20"/>
  <c r="L517" i="20"/>
  <c r="L518" i="20"/>
  <c r="L519" i="20"/>
  <c r="L520" i="20"/>
  <c r="L521" i="20"/>
  <c r="L522" i="20"/>
  <c r="L523" i="20"/>
  <c r="L524" i="20"/>
  <c r="L525" i="20"/>
  <c r="L526" i="20"/>
  <c r="L527" i="20"/>
  <c r="L528" i="20"/>
  <c r="L529" i="20"/>
  <c r="L530" i="20"/>
  <c r="L531" i="20"/>
  <c r="L532" i="20"/>
  <c r="L533" i="20"/>
  <c r="L534" i="20"/>
  <c r="L535" i="20"/>
  <c r="L536" i="20"/>
  <c r="L537" i="20"/>
  <c r="L538" i="20"/>
  <c r="L539" i="20"/>
  <c r="L540" i="20"/>
  <c r="L541" i="20"/>
  <c r="L542" i="20"/>
  <c r="L543" i="20"/>
  <c r="L544" i="20"/>
  <c r="L545" i="20"/>
  <c r="L546" i="20"/>
  <c r="L547" i="20"/>
  <c r="L548" i="20"/>
  <c r="L549" i="20"/>
  <c r="L550" i="20"/>
  <c r="L551" i="20"/>
  <c r="L552" i="20"/>
  <c r="L553" i="20"/>
  <c r="L554" i="20"/>
  <c r="L555" i="20"/>
  <c r="L556" i="20"/>
  <c r="L557" i="20"/>
  <c r="L558" i="20"/>
  <c r="L559" i="20"/>
  <c r="L560" i="20"/>
  <c r="L561" i="20"/>
  <c r="L562" i="20"/>
  <c r="L563" i="20"/>
  <c r="L564" i="20"/>
  <c r="L565" i="20"/>
  <c r="L566" i="20"/>
  <c r="L567" i="20"/>
  <c r="L568" i="20"/>
  <c r="L569" i="20"/>
  <c r="L570" i="20"/>
  <c r="L571" i="20"/>
  <c r="L572" i="20"/>
  <c r="L573" i="20"/>
  <c r="L574" i="20"/>
  <c r="L575" i="20"/>
  <c r="L576" i="20"/>
  <c r="L577" i="20"/>
  <c r="L578" i="20"/>
  <c r="L579" i="20"/>
  <c r="L580" i="20"/>
  <c r="L581" i="20"/>
  <c r="L582" i="20"/>
  <c r="L583" i="20"/>
  <c r="L584" i="20"/>
  <c r="L585" i="20"/>
  <c r="L586" i="20"/>
  <c r="L587" i="20"/>
  <c r="L588" i="20"/>
  <c r="L589" i="20"/>
  <c r="L590" i="20"/>
  <c r="L591" i="20"/>
  <c r="L592" i="20"/>
  <c r="L593" i="20"/>
  <c r="L594" i="20"/>
  <c r="L595" i="20"/>
  <c r="L596" i="20"/>
  <c r="L597" i="20"/>
  <c r="L598" i="20"/>
  <c r="L599" i="20"/>
  <c r="L600" i="20"/>
  <c r="L601" i="20"/>
  <c r="L602" i="20"/>
  <c r="L603" i="20"/>
  <c r="L604" i="20"/>
  <c r="L605" i="20"/>
  <c r="L606" i="20"/>
  <c r="L607" i="20"/>
  <c r="L608" i="20"/>
  <c r="L609" i="20"/>
  <c r="L610" i="20"/>
  <c r="L611" i="20"/>
  <c r="L612" i="20"/>
  <c r="L613" i="20"/>
  <c r="L614" i="20"/>
  <c r="L615" i="20"/>
  <c r="L616" i="20"/>
  <c r="L617" i="20"/>
  <c r="L618" i="20"/>
  <c r="L619" i="20"/>
  <c r="L620" i="20"/>
  <c r="L621" i="20"/>
  <c r="L622" i="20"/>
  <c r="L623" i="20"/>
  <c r="L624" i="20"/>
  <c r="L625" i="20"/>
  <c r="L626" i="20"/>
  <c r="L627" i="20"/>
  <c r="L628" i="20"/>
  <c r="L629" i="20"/>
  <c r="L630" i="20"/>
  <c r="L631" i="20"/>
  <c r="L632" i="20"/>
  <c r="L633" i="20"/>
  <c r="L634" i="20"/>
  <c r="L635" i="20"/>
  <c r="L636" i="20"/>
  <c r="L637" i="20"/>
  <c r="L638" i="20"/>
  <c r="L639" i="20"/>
  <c r="L640" i="20"/>
  <c r="L641" i="20"/>
  <c r="L642" i="20"/>
  <c r="L643" i="20"/>
  <c r="L644" i="20"/>
  <c r="L645" i="20"/>
  <c r="L646" i="20"/>
  <c r="L647" i="20"/>
  <c r="L648" i="20"/>
  <c r="L649" i="20"/>
  <c r="L650" i="20"/>
  <c r="L651" i="20"/>
  <c r="L652" i="20"/>
  <c r="L653" i="20"/>
  <c r="L654" i="20"/>
  <c r="L655" i="20"/>
  <c r="L656" i="20"/>
  <c r="L657" i="20"/>
  <c r="L658" i="20"/>
  <c r="L659" i="20"/>
  <c r="L660" i="20"/>
  <c r="L661" i="20"/>
  <c r="L662" i="20"/>
  <c r="L663" i="20"/>
  <c r="L664" i="20"/>
  <c r="L665" i="20"/>
  <c r="L666" i="20"/>
  <c r="L667" i="20"/>
  <c r="L668" i="20"/>
  <c r="L669" i="20"/>
  <c r="L670" i="20"/>
  <c r="L671" i="20"/>
  <c r="L672" i="20"/>
  <c r="L673" i="20"/>
  <c r="L674" i="20"/>
  <c r="L675" i="20"/>
  <c r="L676" i="20"/>
  <c r="L677" i="20"/>
  <c r="L678" i="20"/>
  <c r="L679" i="20"/>
  <c r="L680" i="20"/>
  <c r="L681" i="20"/>
  <c r="L682" i="20"/>
  <c r="L683" i="20"/>
  <c r="L684" i="20"/>
  <c r="L685" i="20"/>
  <c r="L686" i="20"/>
  <c r="L687" i="20"/>
  <c r="L688" i="20"/>
  <c r="L689" i="20"/>
  <c r="L690" i="20"/>
  <c r="L691" i="20"/>
  <c r="L692" i="20"/>
  <c r="L693" i="20"/>
  <c r="L694" i="20"/>
  <c r="L695" i="20"/>
  <c r="L696" i="20"/>
  <c r="L697" i="20"/>
  <c r="L698" i="20"/>
  <c r="L699" i="20"/>
  <c r="L700" i="20"/>
  <c r="L701" i="20"/>
  <c r="L702" i="20"/>
  <c r="L703" i="20"/>
  <c r="L704" i="20"/>
  <c r="L705" i="20"/>
  <c r="L706" i="20"/>
  <c r="L707" i="20"/>
  <c r="L708" i="20"/>
  <c r="L709" i="20"/>
  <c r="L710" i="20"/>
  <c r="L711" i="20"/>
  <c r="L712" i="20"/>
  <c r="L713" i="20"/>
  <c r="L714" i="20"/>
  <c r="L715" i="20"/>
  <c r="L716" i="20"/>
  <c r="L717" i="20"/>
  <c r="L718" i="20"/>
  <c r="L719" i="20"/>
  <c r="L720" i="20"/>
  <c r="L721" i="20"/>
  <c r="L722" i="20"/>
  <c r="L723" i="20"/>
  <c r="L724" i="20"/>
  <c r="L725" i="20"/>
  <c r="L726" i="20"/>
  <c r="L727" i="20"/>
  <c r="L728" i="20"/>
  <c r="L729" i="20"/>
  <c r="L730" i="20"/>
  <c r="L731" i="20"/>
  <c r="L732" i="20"/>
  <c r="L733" i="20"/>
  <c r="L734" i="20"/>
  <c r="L735" i="20"/>
  <c r="L736" i="20"/>
  <c r="L737" i="20"/>
  <c r="L738" i="20"/>
  <c r="L739" i="20"/>
  <c r="L740" i="20"/>
  <c r="L741" i="20"/>
  <c r="L742" i="20"/>
  <c r="L743" i="20"/>
  <c r="L744" i="20"/>
  <c r="L745" i="20"/>
  <c r="L746" i="20"/>
  <c r="L747" i="20"/>
  <c r="L748" i="20"/>
  <c r="L749" i="20"/>
  <c r="L750" i="20"/>
  <c r="L751" i="20"/>
  <c r="L752" i="20"/>
  <c r="L753" i="20"/>
  <c r="L754" i="20"/>
  <c r="L755" i="20"/>
  <c r="L756" i="20"/>
  <c r="L757" i="20"/>
  <c r="L758" i="20"/>
  <c r="L759" i="20"/>
  <c r="L760" i="20"/>
  <c r="L761" i="20"/>
  <c r="L762" i="20"/>
  <c r="L763" i="20"/>
  <c r="L764" i="20"/>
  <c r="L765" i="20"/>
  <c r="L766" i="20"/>
  <c r="L767" i="20"/>
  <c r="L768" i="20"/>
  <c r="L769" i="20"/>
  <c r="L770" i="20"/>
  <c r="L771" i="20"/>
  <c r="L772" i="20"/>
  <c r="L773" i="20"/>
  <c r="L774" i="20"/>
  <c r="L775" i="20"/>
  <c r="L776" i="20"/>
  <c r="L777" i="20"/>
  <c r="L778" i="20"/>
  <c r="L779" i="20"/>
  <c r="L780" i="20"/>
  <c r="L781" i="20"/>
  <c r="L782" i="20"/>
  <c r="L783" i="20"/>
  <c r="L784" i="20"/>
  <c r="L785" i="20"/>
  <c r="L786" i="20"/>
  <c r="L787" i="20"/>
  <c r="L788" i="20"/>
  <c r="L789" i="20"/>
  <c r="L790" i="20"/>
  <c r="L791" i="20"/>
  <c r="L792" i="20"/>
  <c r="L793" i="20"/>
  <c r="L794" i="20"/>
  <c r="L795" i="20"/>
  <c r="L796" i="20"/>
  <c r="L797" i="20"/>
  <c r="L798" i="20"/>
  <c r="L799" i="20"/>
  <c r="L800" i="20"/>
  <c r="L801" i="20"/>
  <c r="L802" i="20"/>
  <c r="L803" i="20"/>
  <c r="L804" i="20"/>
  <c r="L805" i="20"/>
  <c r="L806" i="20"/>
  <c r="L807" i="20"/>
  <c r="L808" i="20"/>
  <c r="L809" i="20"/>
  <c r="L810" i="20"/>
  <c r="L811" i="20"/>
  <c r="L812" i="20"/>
  <c r="L813" i="20"/>
  <c r="L814" i="20"/>
  <c r="L815" i="20"/>
  <c r="L816" i="20"/>
  <c r="L817" i="20"/>
  <c r="L818" i="20"/>
  <c r="L819" i="20"/>
  <c r="L820" i="20"/>
  <c r="L821" i="20"/>
  <c r="L822" i="20"/>
  <c r="L823" i="20"/>
  <c r="L824" i="20"/>
  <c r="L825" i="20"/>
  <c r="L826" i="20"/>
  <c r="L827" i="20"/>
  <c r="L828" i="20"/>
  <c r="L829" i="20"/>
  <c r="L830" i="20"/>
  <c r="L831" i="20"/>
  <c r="L832" i="20"/>
  <c r="L833" i="20"/>
  <c r="L834" i="20"/>
  <c r="L835" i="20"/>
  <c r="L836" i="20"/>
  <c r="L837" i="20"/>
  <c r="L838" i="20"/>
  <c r="L839" i="20"/>
  <c r="L840" i="20"/>
  <c r="L841" i="20"/>
  <c r="L842" i="20"/>
  <c r="L843" i="20"/>
  <c r="L844" i="20"/>
  <c r="L845" i="20"/>
  <c r="L846" i="20"/>
  <c r="L847" i="20"/>
  <c r="L848" i="20"/>
  <c r="L849" i="20"/>
  <c r="L850" i="20"/>
  <c r="L851" i="20"/>
  <c r="L852" i="20"/>
  <c r="L853" i="20"/>
  <c r="L854" i="20"/>
  <c r="L855" i="20"/>
  <c r="L856" i="20"/>
  <c r="L857" i="20"/>
  <c r="L858" i="20"/>
  <c r="L859" i="20"/>
  <c r="L860" i="20"/>
  <c r="L861" i="20"/>
  <c r="L862" i="20"/>
  <c r="L863" i="20"/>
  <c r="L864" i="20"/>
  <c r="L865" i="20"/>
  <c r="L866" i="20"/>
  <c r="L867" i="20"/>
  <c r="L868" i="20"/>
  <c r="L869" i="20"/>
  <c r="L870" i="20"/>
  <c r="L871" i="20"/>
  <c r="L872" i="20"/>
  <c r="L873" i="20"/>
  <c r="L874" i="20"/>
  <c r="L875" i="20"/>
  <c r="L876" i="20"/>
  <c r="L877" i="20"/>
  <c r="L878" i="20"/>
  <c r="L879" i="20"/>
  <c r="L880" i="20"/>
  <c r="L881" i="20"/>
  <c r="L882" i="20"/>
  <c r="L883" i="20"/>
  <c r="L884" i="20"/>
  <c r="L885" i="20"/>
  <c r="L886" i="20"/>
  <c r="L887" i="20"/>
  <c r="L888" i="20"/>
  <c r="L889" i="20"/>
  <c r="L890" i="20"/>
  <c r="L891" i="20"/>
  <c r="L892" i="20"/>
  <c r="L893" i="20"/>
  <c r="L894" i="20"/>
  <c r="L895" i="20"/>
  <c r="L896" i="20"/>
  <c r="L897" i="20"/>
  <c r="L898" i="20"/>
  <c r="L899" i="20"/>
  <c r="L900" i="20"/>
  <c r="L901" i="20"/>
  <c r="L902" i="20"/>
  <c r="L903" i="20"/>
  <c r="L904" i="20"/>
  <c r="L905" i="20"/>
  <c r="L906" i="20"/>
  <c r="L907" i="20"/>
  <c r="L908" i="20"/>
  <c r="L909" i="20"/>
  <c r="L910" i="20"/>
  <c r="L911" i="20"/>
  <c r="L912" i="20"/>
  <c r="L913" i="20"/>
  <c r="L914" i="20"/>
  <c r="L915" i="20"/>
  <c r="L916" i="20"/>
  <c r="L917" i="20"/>
  <c r="L918" i="20"/>
  <c r="L919" i="20"/>
  <c r="L920" i="20"/>
  <c r="L921" i="20"/>
  <c r="L922" i="20"/>
  <c r="L923" i="20"/>
  <c r="L924" i="20"/>
  <c r="L925" i="20"/>
  <c r="L926" i="20"/>
  <c r="L927" i="20"/>
  <c r="L928" i="20"/>
  <c r="L929" i="20"/>
  <c r="L930" i="20"/>
  <c r="L931" i="20"/>
  <c r="L932" i="20"/>
  <c r="L933" i="20"/>
  <c r="L934" i="20"/>
  <c r="L935" i="20"/>
  <c r="L936" i="20"/>
  <c r="L937" i="20"/>
  <c r="L938" i="20"/>
  <c r="L939" i="20"/>
  <c r="L940" i="20"/>
  <c r="L941" i="20"/>
  <c r="L942" i="20"/>
  <c r="L943" i="20"/>
  <c r="L944" i="20"/>
  <c r="L945" i="20"/>
  <c r="L946" i="20"/>
  <c r="L947" i="20"/>
  <c r="L948" i="20"/>
  <c r="L949" i="20"/>
  <c r="L950" i="20"/>
  <c r="L951" i="20"/>
  <c r="L952" i="20"/>
  <c r="L953" i="20"/>
  <c r="L954" i="20"/>
  <c r="L955" i="20"/>
  <c r="L956" i="20"/>
  <c r="L957" i="20"/>
  <c r="L958" i="20"/>
  <c r="L959" i="20"/>
  <c r="L960" i="20"/>
  <c r="L961" i="20"/>
  <c r="L962" i="20"/>
  <c r="L963" i="20"/>
  <c r="L964" i="20"/>
  <c r="L965" i="20"/>
  <c r="L966" i="20"/>
  <c r="L967" i="20"/>
  <c r="L968" i="20"/>
  <c r="L969" i="20"/>
  <c r="L970" i="20"/>
  <c r="L971" i="20"/>
  <c r="L972" i="20"/>
  <c r="L973" i="20"/>
  <c r="L974" i="20"/>
  <c r="L975" i="20"/>
  <c r="L976" i="20"/>
  <c r="L977" i="20"/>
  <c r="L978" i="20"/>
  <c r="L979" i="20"/>
  <c r="L980" i="20"/>
  <c r="L981" i="20"/>
  <c r="L982" i="20"/>
  <c r="L983" i="20"/>
  <c r="L984" i="20"/>
  <c r="L985" i="20"/>
  <c r="L986" i="20"/>
  <c r="L987" i="20"/>
  <c r="L988" i="20"/>
  <c r="L989" i="20"/>
  <c r="L990" i="20"/>
  <c r="L991" i="20"/>
  <c r="L992" i="20"/>
  <c r="L993" i="20"/>
  <c r="L994" i="20"/>
  <c r="L995" i="20"/>
  <c r="L996" i="20"/>
  <c r="L997" i="20"/>
  <c r="L998" i="20"/>
  <c r="L999" i="20"/>
  <c r="L1000" i="20"/>
  <c r="L1001" i="20"/>
  <c r="L1002" i="20"/>
  <c r="L1003" i="20"/>
  <c r="L1004" i="20"/>
  <c r="N793" i="24"/>
  <c r="N794" i="24"/>
  <c r="N795" i="24"/>
  <c r="N796" i="24"/>
  <c r="N797" i="24"/>
  <c r="N798" i="24"/>
  <c r="N799" i="24"/>
  <c r="N800" i="24"/>
  <c r="N801" i="24"/>
  <c r="N802" i="24"/>
  <c r="N803" i="24"/>
  <c r="N804" i="24"/>
  <c r="N805" i="24"/>
  <c r="N806" i="24"/>
  <c r="N807" i="24"/>
  <c r="N808" i="24"/>
  <c r="N809" i="24"/>
  <c r="N810" i="24"/>
  <c r="N811" i="24"/>
  <c r="N812" i="24"/>
  <c r="N813" i="24"/>
  <c r="N814" i="24"/>
  <c r="N815" i="24"/>
  <c r="N816" i="24"/>
  <c r="N817" i="24"/>
  <c r="N818" i="24"/>
  <c r="N819" i="24"/>
  <c r="N820" i="24"/>
  <c r="N821" i="24"/>
  <c r="N822" i="24"/>
  <c r="N823" i="24"/>
  <c r="N824" i="24"/>
  <c r="N825" i="24"/>
  <c r="N826" i="24"/>
  <c r="N827" i="24"/>
  <c r="N828" i="24"/>
  <c r="N829" i="24"/>
  <c r="N830" i="24"/>
  <c r="N831" i="24"/>
  <c r="N832" i="24"/>
  <c r="N833" i="24"/>
  <c r="N834" i="24"/>
  <c r="N835" i="24"/>
  <c r="N836" i="24"/>
  <c r="N837" i="24"/>
  <c r="N838" i="24"/>
  <c r="N839" i="24"/>
  <c r="N840" i="24"/>
  <c r="N841" i="24"/>
  <c r="N842" i="24"/>
  <c r="N843" i="24"/>
  <c r="N844" i="24"/>
  <c r="N845" i="24"/>
  <c r="N846" i="24"/>
  <c r="N847" i="24"/>
  <c r="N848" i="24"/>
  <c r="N849" i="24"/>
  <c r="N850" i="24"/>
  <c r="N851" i="24"/>
  <c r="N852" i="24"/>
  <c r="N853" i="24"/>
  <c r="N854" i="24"/>
  <c r="N855" i="24"/>
  <c r="N856" i="24"/>
  <c r="N857" i="24"/>
  <c r="N858" i="24"/>
  <c r="N859" i="24"/>
  <c r="N860" i="24"/>
  <c r="N861" i="24"/>
  <c r="N862" i="24"/>
  <c r="N863" i="24"/>
  <c r="N864" i="24"/>
  <c r="N865" i="24"/>
  <c r="N866" i="24"/>
  <c r="N867" i="24"/>
  <c r="N868" i="24"/>
  <c r="N869" i="24"/>
  <c r="N870" i="24"/>
  <c r="N871" i="24"/>
  <c r="N872" i="24"/>
  <c r="N873" i="24"/>
  <c r="N874" i="24"/>
  <c r="N875" i="24"/>
  <c r="N876" i="24"/>
  <c r="N877" i="24"/>
  <c r="N878" i="24"/>
  <c r="N879" i="24"/>
  <c r="N880" i="24"/>
  <c r="N881" i="24"/>
  <c r="N882" i="24"/>
  <c r="N883" i="24"/>
  <c r="N884" i="24"/>
  <c r="N885" i="24"/>
  <c r="N886" i="24"/>
  <c r="N887" i="24"/>
  <c r="N888" i="24"/>
  <c r="N889" i="24"/>
  <c r="N890" i="24"/>
  <c r="N891" i="24"/>
  <c r="N892" i="24"/>
  <c r="N893" i="24"/>
  <c r="N894" i="24"/>
  <c r="N895" i="24"/>
  <c r="N896" i="24"/>
  <c r="N897" i="24"/>
  <c r="N898" i="24"/>
  <c r="N899" i="24"/>
  <c r="N900" i="24"/>
  <c r="N901" i="24"/>
  <c r="N902" i="24"/>
  <c r="N903" i="24"/>
  <c r="N904" i="24"/>
  <c r="N905" i="24"/>
  <c r="N906" i="24"/>
  <c r="N907" i="24"/>
  <c r="N908" i="24"/>
  <c r="N909" i="24"/>
  <c r="N910" i="24"/>
  <c r="N911" i="24"/>
  <c r="N912" i="24"/>
  <c r="N913" i="24"/>
  <c r="N914" i="24"/>
  <c r="N915" i="24"/>
  <c r="N916" i="24"/>
  <c r="N917" i="24"/>
  <c r="N918" i="24"/>
  <c r="N919" i="24"/>
  <c r="N920" i="24"/>
  <c r="N921" i="24"/>
  <c r="N922" i="24"/>
  <c r="N923" i="24"/>
  <c r="N924" i="24"/>
  <c r="N925" i="24"/>
  <c r="N926" i="24"/>
  <c r="N927" i="24"/>
  <c r="N928" i="24"/>
  <c r="N929" i="24"/>
  <c r="N930" i="24"/>
  <c r="N931" i="24"/>
  <c r="N932" i="24"/>
  <c r="N933" i="24"/>
  <c r="N934" i="24"/>
  <c r="N935" i="24"/>
  <c r="N936" i="24"/>
  <c r="N937" i="24"/>
  <c r="N938" i="24"/>
  <c r="N939" i="24"/>
  <c r="N940" i="24"/>
  <c r="N941" i="24"/>
  <c r="N942" i="24"/>
  <c r="N943" i="24"/>
  <c r="N944" i="24"/>
  <c r="N945" i="24"/>
  <c r="N946" i="24"/>
  <c r="N947" i="24"/>
  <c r="N948" i="24"/>
  <c r="N949" i="24"/>
  <c r="N950" i="24"/>
  <c r="N951" i="24"/>
  <c r="N952" i="24"/>
  <c r="N953" i="24"/>
  <c r="N954" i="24"/>
  <c r="N955" i="24"/>
  <c r="N956" i="24"/>
  <c r="N957" i="24"/>
  <c r="N958" i="24"/>
  <c r="N959" i="24"/>
  <c r="N960" i="24"/>
  <c r="N961" i="24"/>
  <c r="N962" i="24"/>
  <c r="N963" i="24"/>
  <c r="N964" i="24"/>
  <c r="N965" i="24"/>
  <c r="N966" i="24"/>
  <c r="N967" i="24"/>
  <c r="N968" i="24"/>
  <c r="N969" i="24"/>
  <c r="N970" i="24"/>
  <c r="N971" i="24"/>
  <c r="N972" i="24"/>
  <c r="N973" i="24"/>
  <c r="N974" i="24"/>
  <c r="N975" i="24"/>
  <c r="N976" i="24"/>
  <c r="N977" i="24"/>
  <c r="N978" i="24"/>
  <c r="N979" i="24"/>
  <c r="N980" i="24"/>
  <c r="N981" i="24"/>
  <c r="N982" i="24"/>
  <c r="N983" i="24"/>
  <c r="N984" i="24"/>
  <c r="N985" i="24"/>
  <c r="N986" i="24"/>
  <c r="N987" i="24"/>
  <c r="N988" i="24"/>
  <c r="N989" i="24"/>
  <c r="N990" i="24"/>
  <c r="N991" i="24"/>
  <c r="N992" i="24"/>
  <c r="N993" i="24"/>
  <c r="N994" i="24"/>
  <c r="N995" i="24"/>
  <c r="N996" i="24"/>
  <c r="N997" i="24"/>
  <c r="N998" i="24"/>
  <c r="N999" i="24"/>
  <c r="N1000" i="24"/>
  <c r="N1001" i="24"/>
  <c r="N1002" i="24"/>
  <c r="N1003" i="24"/>
  <c r="N1004" i="24"/>
  <c r="L7" i="24"/>
  <c r="L8" i="24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L28" i="24"/>
  <c r="L29" i="24"/>
  <c r="L30" i="24"/>
  <c r="L31" i="24"/>
  <c r="L32" i="24"/>
  <c r="L33" i="24"/>
  <c r="L34" i="24"/>
  <c r="L35" i="24"/>
  <c r="L36" i="24"/>
  <c r="L37" i="24"/>
  <c r="L38" i="24"/>
  <c r="L39" i="24"/>
  <c r="L40" i="24"/>
  <c r="L41" i="24"/>
  <c r="L42" i="24"/>
  <c r="L43" i="24"/>
  <c r="L44" i="24"/>
  <c r="L45" i="24"/>
  <c r="L46" i="24"/>
  <c r="L47" i="24"/>
  <c r="L48" i="24"/>
  <c r="L49" i="24"/>
  <c r="L50" i="24"/>
  <c r="L51" i="24"/>
  <c r="L52" i="24"/>
  <c r="L53" i="24"/>
  <c r="L54" i="24"/>
  <c r="L55" i="24"/>
  <c r="L56" i="24"/>
  <c r="L57" i="24"/>
  <c r="L59" i="24"/>
  <c r="L60" i="24"/>
  <c r="L61" i="24"/>
  <c r="L62" i="24"/>
  <c r="L63" i="24"/>
  <c r="L64" i="24"/>
  <c r="L65" i="24"/>
  <c r="L66" i="24"/>
  <c r="L67" i="24"/>
  <c r="L68" i="24"/>
  <c r="L69" i="24"/>
  <c r="L70" i="24"/>
  <c r="L71" i="24"/>
  <c r="L72" i="24"/>
  <c r="J73" i="24"/>
  <c r="L73" i="24" s="1"/>
  <c r="L74" i="24"/>
  <c r="L75" i="24"/>
  <c r="L76" i="24"/>
  <c r="L77" i="24"/>
  <c r="L78" i="24"/>
  <c r="L79" i="24"/>
  <c r="L80" i="24"/>
  <c r="L81" i="24"/>
  <c r="L82" i="24"/>
  <c r="L83" i="24"/>
  <c r="L84" i="24"/>
  <c r="L85" i="24"/>
  <c r="L86" i="24"/>
  <c r="L87" i="24"/>
  <c r="L88" i="24"/>
  <c r="L89" i="24"/>
  <c r="L90" i="24"/>
  <c r="L91" i="24"/>
  <c r="L92" i="24"/>
  <c r="L93" i="24"/>
  <c r="L94" i="24"/>
  <c r="L95" i="24"/>
  <c r="J96" i="24"/>
  <c r="L96" i="24" s="1"/>
  <c r="J97" i="24"/>
  <c r="L97" i="24" s="1"/>
  <c r="L98" i="24"/>
  <c r="L99" i="24"/>
  <c r="L100" i="24"/>
  <c r="L101" i="24"/>
  <c r="L102" i="24"/>
  <c r="L103" i="24"/>
  <c r="L104" i="24"/>
  <c r="L105" i="24"/>
  <c r="L106" i="24"/>
  <c r="L107" i="24"/>
  <c r="L108" i="24"/>
  <c r="L109" i="24"/>
  <c r="L110" i="24"/>
  <c r="L111" i="24"/>
  <c r="L112" i="24"/>
  <c r="L113" i="24"/>
  <c r="L114" i="24"/>
  <c r="L115" i="24"/>
  <c r="L116" i="24"/>
  <c r="L117" i="24"/>
  <c r="L118" i="24"/>
  <c r="L119" i="24"/>
  <c r="L120" i="24"/>
  <c r="L121" i="24"/>
  <c r="L122" i="24"/>
  <c r="L123" i="24"/>
  <c r="L124" i="24"/>
  <c r="L125" i="24"/>
  <c r="L126" i="24"/>
  <c r="L127" i="24"/>
  <c r="L128" i="24"/>
  <c r="L129" i="24"/>
  <c r="L130" i="24"/>
  <c r="L131" i="24"/>
  <c r="L132" i="24"/>
  <c r="L133" i="24"/>
  <c r="L134" i="24"/>
  <c r="L135" i="24"/>
  <c r="L136" i="24"/>
  <c r="L137" i="24"/>
  <c r="L138" i="24"/>
  <c r="L139" i="24"/>
  <c r="L140" i="24"/>
  <c r="L141" i="24"/>
  <c r="L142" i="24"/>
  <c r="L143" i="24"/>
  <c r="L144" i="24"/>
  <c r="L145" i="24"/>
  <c r="L146" i="24"/>
  <c r="L147" i="24"/>
  <c r="L148" i="24"/>
  <c r="L149" i="24"/>
  <c r="L150" i="24"/>
  <c r="L151" i="24"/>
  <c r="J152" i="24"/>
  <c r="L152" i="24" s="1"/>
  <c r="L153" i="24"/>
  <c r="L154" i="24"/>
  <c r="L155" i="24"/>
  <c r="L156" i="24"/>
  <c r="L157" i="24"/>
  <c r="L158" i="24"/>
  <c r="L159" i="24"/>
  <c r="L160" i="24"/>
  <c r="L161" i="24"/>
  <c r="L162" i="24"/>
  <c r="L163" i="24"/>
  <c r="L164" i="24"/>
  <c r="L165" i="24"/>
  <c r="L166" i="24"/>
  <c r="L167" i="24"/>
  <c r="L168" i="24"/>
  <c r="L169" i="24"/>
  <c r="L170" i="24"/>
  <c r="L171" i="24"/>
  <c r="L172" i="24"/>
  <c r="L173" i="24"/>
  <c r="L174" i="24"/>
  <c r="L175" i="24"/>
  <c r="L176" i="24"/>
  <c r="L177" i="24"/>
  <c r="L178" i="24"/>
  <c r="L179" i="24"/>
  <c r="L180" i="24"/>
  <c r="L181" i="24"/>
  <c r="L182" i="24"/>
  <c r="L183" i="24"/>
  <c r="L184" i="24"/>
  <c r="L185" i="24"/>
  <c r="L186" i="24"/>
  <c r="L187" i="24"/>
  <c r="L188" i="24"/>
  <c r="L189" i="24"/>
  <c r="L190" i="24"/>
  <c r="L191" i="24"/>
  <c r="L192" i="24"/>
  <c r="L193" i="24"/>
  <c r="L194" i="24"/>
  <c r="L195" i="24"/>
  <c r="L196" i="24"/>
  <c r="L197" i="24"/>
  <c r="L198" i="24"/>
  <c r="L199" i="24"/>
  <c r="L200" i="24"/>
  <c r="L201" i="24"/>
  <c r="L202" i="24"/>
  <c r="L203" i="24"/>
  <c r="L204" i="24"/>
  <c r="L205" i="24"/>
  <c r="L206" i="24"/>
  <c r="L207" i="24"/>
  <c r="L208" i="24"/>
  <c r="L209" i="24"/>
  <c r="L210" i="24"/>
  <c r="L211" i="24"/>
  <c r="L212" i="24"/>
  <c r="L213" i="24"/>
  <c r="L214" i="24"/>
  <c r="L215" i="24"/>
  <c r="L216" i="24"/>
  <c r="L217" i="24"/>
  <c r="L218" i="24"/>
  <c r="L219" i="24"/>
  <c r="L220" i="24"/>
  <c r="L221" i="24"/>
  <c r="L222" i="24"/>
  <c r="L223" i="24"/>
  <c r="L224" i="24"/>
  <c r="L225" i="24"/>
  <c r="L226" i="24"/>
  <c r="L227" i="24"/>
  <c r="L228" i="24"/>
  <c r="L229" i="24"/>
  <c r="L230" i="24"/>
  <c r="L231" i="24"/>
  <c r="L232" i="24"/>
  <c r="L233" i="24"/>
  <c r="L234" i="24"/>
  <c r="L235" i="24"/>
  <c r="L236" i="24"/>
  <c r="L237" i="24"/>
  <c r="L238" i="24"/>
  <c r="L239" i="24"/>
  <c r="L240" i="24"/>
  <c r="L241" i="24"/>
  <c r="L242" i="24"/>
  <c r="L243" i="24"/>
  <c r="L244" i="24"/>
  <c r="L245" i="24"/>
  <c r="L246" i="24"/>
  <c r="L247" i="24"/>
  <c r="L248" i="24"/>
  <c r="L249" i="24"/>
  <c r="L250" i="24"/>
  <c r="L251" i="24"/>
  <c r="L252" i="24"/>
  <c r="L253" i="24"/>
  <c r="L254" i="24"/>
  <c r="L255" i="24"/>
  <c r="L256" i="24"/>
  <c r="L257" i="24"/>
  <c r="L258" i="24"/>
  <c r="L259" i="24"/>
  <c r="L260" i="24"/>
  <c r="L261" i="24"/>
  <c r="L262" i="24"/>
  <c r="L263" i="24"/>
  <c r="L264" i="24"/>
  <c r="L265" i="24"/>
  <c r="L266" i="24"/>
  <c r="L267" i="24"/>
  <c r="L268" i="24"/>
  <c r="L269" i="24"/>
  <c r="L270" i="24"/>
  <c r="L271" i="24"/>
  <c r="L272" i="24"/>
  <c r="L273" i="24"/>
  <c r="L274" i="24"/>
  <c r="L275" i="24"/>
  <c r="L276" i="24"/>
  <c r="L277" i="24"/>
  <c r="L278" i="24"/>
  <c r="L279" i="24"/>
  <c r="L280" i="24"/>
  <c r="L281" i="24"/>
  <c r="L282" i="24"/>
  <c r="L283" i="24"/>
  <c r="L284" i="24"/>
  <c r="L285" i="24"/>
  <c r="L286" i="24"/>
  <c r="L287" i="24"/>
  <c r="L288" i="24"/>
  <c r="L289" i="24"/>
  <c r="L290" i="24"/>
  <c r="L291" i="24"/>
  <c r="L292" i="24"/>
  <c r="L293" i="24"/>
  <c r="L294" i="24"/>
  <c r="L295" i="24"/>
  <c r="L296" i="24"/>
  <c r="L297" i="24"/>
  <c r="L298" i="24"/>
  <c r="L299" i="24"/>
  <c r="L300" i="24"/>
  <c r="L301" i="24"/>
  <c r="L302" i="24"/>
  <c r="L303" i="24"/>
  <c r="L304" i="24"/>
  <c r="L305" i="24"/>
  <c r="L306" i="24"/>
  <c r="L307" i="24"/>
  <c r="L308" i="24"/>
  <c r="L309" i="24"/>
  <c r="L310" i="24"/>
  <c r="L311" i="24"/>
  <c r="L312" i="24"/>
  <c r="L313" i="24"/>
  <c r="L314" i="24"/>
  <c r="L315" i="24"/>
  <c r="L316" i="24"/>
  <c r="L317" i="24"/>
  <c r="L318" i="24"/>
  <c r="L319" i="24"/>
  <c r="L320" i="24"/>
  <c r="L321" i="24"/>
  <c r="L322" i="24"/>
  <c r="L323" i="24"/>
  <c r="L324" i="24"/>
  <c r="L325" i="24"/>
  <c r="L326" i="24"/>
  <c r="L327" i="24"/>
  <c r="L328" i="24"/>
  <c r="L329" i="24"/>
  <c r="L330" i="24"/>
  <c r="L331" i="24"/>
  <c r="L332" i="24"/>
  <c r="L333" i="24"/>
  <c r="L334" i="24"/>
  <c r="L335" i="24"/>
  <c r="L336" i="24"/>
  <c r="L337" i="24"/>
  <c r="L338" i="24"/>
  <c r="L339" i="24"/>
  <c r="L340" i="24"/>
  <c r="L341" i="24"/>
  <c r="L342" i="24"/>
  <c r="L343" i="24"/>
  <c r="L344" i="24"/>
  <c r="L345" i="24"/>
  <c r="L346" i="24"/>
  <c r="L347" i="24"/>
  <c r="L348" i="24"/>
  <c r="L349" i="24"/>
  <c r="L350" i="24"/>
  <c r="L351" i="24"/>
  <c r="L352" i="24"/>
  <c r="L353" i="24"/>
  <c r="L354" i="24"/>
  <c r="L355" i="24"/>
  <c r="L356" i="24"/>
  <c r="L357" i="24"/>
  <c r="L358" i="24"/>
  <c r="L359" i="24"/>
  <c r="L360" i="24"/>
  <c r="L361" i="24"/>
  <c r="L362" i="24"/>
  <c r="L363" i="24"/>
  <c r="L364" i="24"/>
  <c r="L365" i="24"/>
  <c r="L366" i="24"/>
  <c r="L367" i="24"/>
  <c r="L368" i="24"/>
  <c r="L369" i="24"/>
  <c r="L370" i="24"/>
  <c r="L371" i="24"/>
  <c r="L372" i="24"/>
  <c r="L373" i="24"/>
  <c r="L374" i="24"/>
  <c r="L375" i="24"/>
  <c r="L376" i="24"/>
  <c r="L377" i="24"/>
  <c r="L378" i="24"/>
  <c r="L379" i="24"/>
  <c r="L380" i="24"/>
  <c r="L381" i="24"/>
  <c r="L382" i="24"/>
  <c r="L383" i="24"/>
  <c r="L384" i="24"/>
  <c r="L385" i="24"/>
  <c r="L386" i="24"/>
  <c r="L387" i="24"/>
  <c r="L388" i="24"/>
  <c r="L389" i="24"/>
  <c r="L390" i="24"/>
  <c r="L391" i="24"/>
  <c r="L392" i="24"/>
  <c r="L393" i="24"/>
  <c r="L394" i="24"/>
  <c r="L395" i="24"/>
  <c r="L396" i="24"/>
  <c r="L397" i="24"/>
  <c r="L398" i="24"/>
  <c r="L399" i="24"/>
  <c r="L400" i="24"/>
  <c r="L401" i="24"/>
  <c r="L402" i="24"/>
  <c r="L403" i="24"/>
  <c r="L404" i="24"/>
  <c r="L405" i="24"/>
  <c r="L406" i="24"/>
  <c r="L407" i="24"/>
  <c r="L408" i="24"/>
  <c r="L409" i="24"/>
  <c r="L410" i="24"/>
  <c r="L411" i="24"/>
  <c r="L412" i="24"/>
  <c r="L413" i="24"/>
  <c r="L414" i="24"/>
  <c r="L415" i="24"/>
  <c r="L416" i="24"/>
  <c r="L417" i="24"/>
  <c r="L418" i="24"/>
  <c r="L419" i="24"/>
  <c r="L420" i="24"/>
  <c r="L421" i="24"/>
  <c r="L422" i="24"/>
  <c r="L423" i="24"/>
  <c r="L424" i="24"/>
  <c r="L425" i="24"/>
  <c r="L426" i="24"/>
  <c r="L427" i="24"/>
  <c r="L428" i="24"/>
  <c r="L429" i="24"/>
  <c r="L430" i="24"/>
  <c r="L431" i="24"/>
  <c r="L432" i="24"/>
  <c r="L433" i="24"/>
  <c r="L434" i="24"/>
  <c r="L435" i="24"/>
  <c r="L436" i="24"/>
  <c r="L437" i="24"/>
  <c r="L438" i="24"/>
  <c r="L439" i="24"/>
  <c r="L440" i="24"/>
  <c r="L441" i="24"/>
  <c r="L442" i="24"/>
  <c r="L443" i="24"/>
  <c r="L444" i="24"/>
  <c r="L445" i="24"/>
  <c r="L446" i="24"/>
  <c r="L447" i="24"/>
  <c r="L448" i="24"/>
  <c r="L449" i="24"/>
  <c r="L450" i="24"/>
  <c r="L451" i="24"/>
  <c r="L452" i="24"/>
  <c r="L453" i="24"/>
  <c r="L454" i="24"/>
  <c r="L455" i="24"/>
  <c r="L456" i="24"/>
  <c r="L457" i="24"/>
  <c r="L458" i="24"/>
  <c r="L459" i="24"/>
  <c r="L460" i="24"/>
  <c r="L461" i="24"/>
  <c r="L462" i="24"/>
  <c r="L463" i="24"/>
  <c r="L464" i="24"/>
  <c r="L465" i="24"/>
  <c r="L466" i="24"/>
  <c r="L467" i="24"/>
  <c r="L468" i="24"/>
  <c r="L469" i="24"/>
  <c r="L470" i="24"/>
  <c r="L471" i="24"/>
  <c r="L472" i="24"/>
  <c r="L473" i="24"/>
  <c r="L474" i="24"/>
  <c r="L475" i="24"/>
  <c r="L476" i="24"/>
  <c r="L477" i="24"/>
  <c r="L478" i="24"/>
  <c r="L479" i="24"/>
  <c r="L480" i="24"/>
  <c r="L481" i="24"/>
  <c r="L482" i="24"/>
  <c r="L483" i="24"/>
  <c r="L484" i="24"/>
  <c r="L485" i="24"/>
  <c r="L486" i="24"/>
  <c r="L487" i="24"/>
  <c r="L488" i="24"/>
  <c r="L489" i="24"/>
  <c r="L490" i="24"/>
  <c r="L491" i="24"/>
  <c r="L492" i="24"/>
  <c r="L493" i="24"/>
  <c r="L494" i="24"/>
  <c r="L495" i="24"/>
  <c r="L496" i="24"/>
  <c r="L497" i="24"/>
  <c r="L498" i="24"/>
  <c r="L499" i="24"/>
  <c r="L500" i="24"/>
  <c r="L501" i="24"/>
  <c r="L502" i="24"/>
  <c r="L503" i="24"/>
  <c r="L504" i="24"/>
  <c r="L505" i="24"/>
  <c r="L506" i="24"/>
  <c r="L507" i="24"/>
  <c r="L508" i="24"/>
  <c r="L509" i="24"/>
  <c r="L510" i="24"/>
  <c r="L511" i="24"/>
  <c r="L512" i="24"/>
  <c r="L513" i="24"/>
  <c r="L514" i="24"/>
  <c r="L515" i="24"/>
  <c r="L516" i="24"/>
  <c r="L517" i="24"/>
  <c r="L518" i="24"/>
  <c r="L519" i="24"/>
  <c r="L520" i="24"/>
  <c r="L521" i="24"/>
  <c r="L522" i="24"/>
  <c r="L523" i="24"/>
  <c r="L524" i="24"/>
  <c r="L525" i="24"/>
  <c r="L526" i="24"/>
  <c r="L527" i="24"/>
  <c r="L528" i="24"/>
  <c r="L529" i="24"/>
  <c r="L530" i="24"/>
  <c r="L531" i="24"/>
  <c r="L532" i="24"/>
  <c r="L533" i="24"/>
  <c r="L534" i="24"/>
  <c r="L535" i="24"/>
  <c r="L536" i="24"/>
  <c r="L537" i="24"/>
  <c r="L538" i="24"/>
  <c r="L539" i="24"/>
  <c r="L540" i="24"/>
  <c r="L541" i="24"/>
  <c r="L542" i="24"/>
  <c r="L543" i="24"/>
  <c r="L544" i="24"/>
  <c r="L545" i="24"/>
  <c r="L546" i="24"/>
  <c r="L547" i="24"/>
  <c r="L548" i="24"/>
  <c r="L549" i="24"/>
  <c r="L550" i="24"/>
  <c r="L551" i="24"/>
  <c r="L552" i="24"/>
  <c r="L553" i="24"/>
  <c r="J554" i="24"/>
  <c r="L554" i="24" s="1"/>
  <c r="L555" i="24"/>
  <c r="L556" i="24"/>
  <c r="L557" i="24"/>
  <c r="J558" i="24"/>
  <c r="L558" i="24" s="1"/>
  <c r="J559" i="24"/>
  <c r="L559" i="24" s="1"/>
  <c r="L560" i="24"/>
  <c r="L561" i="24"/>
  <c r="L562" i="24"/>
  <c r="L563" i="24"/>
  <c r="L564" i="24"/>
  <c r="L565" i="24"/>
  <c r="L566" i="24"/>
  <c r="L567" i="24"/>
  <c r="L568" i="24"/>
  <c r="L569" i="24"/>
  <c r="L570" i="24"/>
  <c r="L571" i="24"/>
  <c r="L572" i="24"/>
  <c r="L573" i="24"/>
  <c r="L574" i="24"/>
  <c r="L575" i="24"/>
  <c r="L576" i="24"/>
  <c r="L577" i="24"/>
  <c r="L578" i="24"/>
  <c r="L579" i="24"/>
  <c r="L580" i="24"/>
  <c r="L581" i="24"/>
  <c r="L582" i="24"/>
  <c r="L583" i="24"/>
  <c r="L584" i="24"/>
  <c r="L585" i="24"/>
  <c r="L586" i="24"/>
  <c r="L587" i="24"/>
  <c r="L588" i="24"/>
  <c r="L589" i="24"/>
  <c r="L590" i="24"/>
  <c r="L591" i="24"/>
  <c r="L592" i="24"/>
  <c r="L593" i="24"/>
  <c r="L594" i="24"/>
  <c r="L595" i="24"/>
  <c r="L596" i="24"/>
  <c r="L597" i="24"/>
  <c r="L598" i="24"/>
  <c r="L599" i="24"/>
  <c r="L600" i="24"/>
  <c r="L601" i="24"/>
  <c r="L602" i="24"/>
  <c r="L603" i="24"/>
  <c r="L604" i="24"/>
  <c r="L605" i="24"/>
  <c r="L606" i="24"/>
  <c r="L607" i="24"/>
  <c r="L608" i="24"/>
  <c r="L609" i="24"/>
  <c r="L610" i="24"/>
  <c r="L611" i="24"/>
  <c r="L612" i="24"/>
  <c r="L613" i="24"/>
  <c r="L614" i="24"/>
  <c r="L615" i="24"/>
  <c r="L616" i="24"/>
  <c r="L617" i="24"/>
  <c r="L618" i="24"/>
  <c r="L619" i="24"/>
  <c r="L620" i="24"/>
  <c r="L621" i="24"/>
  <c r="L622" i="24"/>
  <c r="L623" i="24"/>
  <c r="L624" i="24"/>
  <c r="L625" i="24"/>
  <c r="L626" i="24"/>
  <c r="L627" i="24"/>
  <c r="L628" i="24"/>
  <c r="L629" i="24"/>
  <c r="L630" i="24"/>
  <c r="L631" i="24"/>
  <c r="L632" i="24"/>
  <c r="L633" i="24"/>
  <c r="L634" i="24"/>
  <c r="L635" i="24"/>
  <c r="L636" i="24"/>
  <c r="L637" i="24"/>
  <c r="L638" i="24"/>
  <c r="L639" i="24"/>
  <c r="L640" i="24"/>
  <c r="L641" i="24"/>
  <c r="L642" i="24"/>
  <c r="L643" i="24"/>
  <c r="L644" i="24"/>
  <c r="L645" i="24"/>
  <c r="L646" i="24"/>
  <c r="L647" i="24"/>
  <c r="L648" i="24"/>
  <c r="L649" i="24"/>
  <c r="L650" i="24"/>
  <c r="L651" i="24"/>
  <c r="L652" i="24"/>
  <c r="L653" i="24"/>
  <c r="L654" i="24"/>
  <c r="L655" i="24"/>
  <c r="L656" i="24"/>
  <c r="L657" i="24"/>
  <c r="L658" i="24"/>
  <c r="L659" i="24"/>
  <c r="L660" i="24"/>
  <c r="L661" i="24"/>
  <c r="L662" i="24"/>
  <c r="L663" i="24"/>
  <c r="L664" i="24"/>
  <c r="L665" i="24"/>
  <c r="L666" i="24"/>
  <c r="L667" i="24"/>
  <c r="L668" i="24"/>
  <c r="L669" i="24"/>
  <c r="L670" i="24"/>
  <c r="L671" i="24"/>
  <c r="L672" i="24"/>
  <c r="L673" i="24"/>
  <c r="L674" i="24"/>
  <c r="L675" i="24"/>
  <c r="L676" i="24"/>
  <c r="L677" i="24"/>
  <c r="L678" i="24"/>
  <c r="L679" i="24"/>
  <c r="L680" i="24"/>
  <c r="L681" i="24"/>
  <c r="L682" i="24"/>
  <c r="L683" i="24"/>
  <c r="L684" i="24"/>
  <c r="L685" i="24"/>
  <c r="L686" i="24"/>
  <c r="L687" i="24"/>
  <c r="L688" i="24"/>
  <c r="L689" i="24"/>
  <c r="L690" i="24"/>
  <c r="L691" i="24"/>
  <c r="L692" i="24"/>
  <c r="L693" i="24"/>
  <c r="L694" i="24"/>
  <c r="L695" i="24"/>
  <c r="L696" i="24"/>
  <c r="L697" i="24"/>
  <c r="L698" i="24"/>
  <c r="L699" i="24"/>
  <c r="L700" i="24"/>
  <c r="L701" i="24"/>
  <c r="L702" i="24"/>
  <c r="L703" i="24"/>
  <c r="L704" i="24"/>
  <c r="L705" i="24"/>
  <c r="L706" i="24"/>
  <c r="L707" i="24"/>
  <c r="L708" i="24"/>
  <c r="L709" i="24"/>
  <c r="L710" i="24"/>
  <c r="L711" i="24"/>
  <c r="L712" i="24"/>
  <c r="L713" i="24"/>
  <c r="L714" i="24"/>
  <c r="L715" i="24"/>
  <c r="L716" i="24"/>
  <c r="L717" i="24"/>
  <c r="L718" i="24"/>
  <c r="L719" i="24"/>
  <c r="L720" i="24"/>
  <c r="L721" i="24"/>
  <c r="L722" i="24"/>
  <c r="L723" i="24"/>
  <c r="L724" i="24"/>
  <c r="L725" i="24"/>
  <c r="L726" i="24"/>
  <c r="L727" i="24"/>
  <c r="L728" i="24"/>
  <c r="L729" i="24"/>
  <c r="L730" i="24"/>
  <c r="L731" i="24"/>
  <c r="L732" i="24"/>
  <c r="L733" i="24"/>
  <c r="L734" i="24"/>
  <c r="L735" i="24"/>
  <c r="L736" i="24"/>
  <c r="L737" i="24"/>
  <c r="L738" i="24"/>
  <c r="L739" i="24"/>
  <c r="L740" i="24"/>
  <c r="L741" i="24"/>
  <c r="L742" i="24"/>
  <c r="L743" i="24"/>
  <c r="L744" i="24"/>
  <c r="L745" i="24"/>
  <c r="L746" i="24"/>
  <c r="L747" i="24"/>
  <c r="L748" i="24"/>
  <c r="L749" i="24"/>
  <c r="L750" i="24"/>
  <c r="L751" i="24"/>
  <c r="L752" i="24"/>
  <c r="L753" i="24"/>
  <c r="L754" i="24"/>
  <c r="L755" i="24"/>
  <c r="L756" i="24"/>
  <c r="L757" i="24"/>
  <c r="L758" i="24"/>
  <c r="L759" i="24"/>
  <c r="L760" i="24"/>
  <c r="L761" i="24"/>
  <c r="L762" i="24"/>
  <c r="L763" i="24"/>
  <c r="L764" i="24"/>
  <c r="L765" i="24"/>
  <c r="L766" i="24"/>
  <c r="L767" i="24"/>
  <c r="L768" i="24"/>
  <c r="L769" i="24"/>
  <c r="L770" i="24"/>
  <c r="L771" i="24"/>
  <c r="L772" i="24"/>
  <c r="L773" i="24"/>
  <c r="L774" i="24"/>
  <c r="L775" i="24"/>
  <c r="L776" i="24"/>
  <c r="L777" i="24"/>
  <c r="L778" i="24"/>
  <c r="L779" i="24"/>
  <c r="L780" i="24"/>
  <c r="L781" i="24"/>
  <c r="L782" i="24"/>
  <c r="L783" i="24"/>
  <c r="L784" i="24"/>
  <c r="L785" i="24"/>
  <c r="L786" i="24"/>
  <c r="L787" i="24"/>
  <c r="L788" i="24"/>
  <c r="L789" i="24"/>
  <c r="L790" i="24"/>
  <c r="L791" i="24"/>
  <c r="L792" i="24"/>
  <c r="L793" i="24"/>
  <c r="L794" i="24"/>
  <c r="L795" i="24"/>
  <c r="L796" i="24"/>
  <c r="L797" i="24"/>
  <c r="L798" i="24"/>
  <c r="L799" i="24"/>
  <c r="L800" i="24"/>
  <c r="L801" i="24"/>
  <c r="L802" i="24"/>
  <c r="L803" i="24"/>
  <c r="L804" i="24"/>
  <c r="L805" i="24"/>
  <c r="L806" i="24"/>
  <c r="L807" i="24"/>
  <c r="L808" i="24"/>
  <c r="L809" i="24"/>
  <c r="L810" i="24"/>
  <c r="L811" i="24"/>
  <c r="L812" i="24"/>
  <c r="L813" i="24"/>
  <c r="L814" i="24"/>
  <c r="L815" i="24"/>
  <c r="L816" i="24"/>
  <c r="L817" i="24"/>
  <c r="L818" i="24"/>
  <c r="L819" i="24"/>
  <c r="L820" i="24"/>
  <c r="L821" i="24"/>
  <c r="L822" i="24"/>
  <c r="L823" i="24"/>
  <c r="L824" i="24"/>
  <c r="L825" i="24"/>
  <c r="L826" i="24"/>
  <c r="L827" i="24"/>
  <c r="L828" i="24"/>
  <c r="L829" i="24"/>
  <c r="L830" i="24"/>
  <c r="L831" i="24"/>
  <c r="L832" i="24"/>
  <c r="L833" i="24"/>
  <c r="L834" i="24"/>
  <c r="L835" i="24"/>
  <c r="L836" i="24"/>
  <c r="L837" i="24"/>
  <c r="L838" i="24"/>
  <c r="L839" i="24"/>
  <c r="L840" i="24"/>
  <c r="L841" i="24"/>
  <c r="L842" i="24"/>
  <c r="L843" i="24"/>
  <c r="L844" i="24"/>
  <c r="L845" i="24"/>
  <c r="L846" i="24"/>
  <c r="L847" i="24"/>
  <c r="L848" i="24"/>
  <c r="L849" i="24"/>
  <c r="L850" i="24"/>
  <c r="L851" i="24"/>
  <c r="L852" i="24"/>
  <c r="L853" i="24"/>
  <c r="L854" i="24"/>
  <c r="L855" i="24"/>
  <c r="L856" i="24"/>
  <c r="L857" i="24"/>
  <c r="L858" i="24"/>
  <c r="L859" i="24"/>
  <c r="L860" i="24"/>
  <c r="L861" i="24"/>
  <c r="L862" i="24"/>
  <c r="L863" i="24"/>
  <c r="L864" i="24"/>
  <c r="L865" i="24"/>
  <c r="L866" i="24"/>
  <c r="L867" i="24"/>
  <c r="L868" i="24"/>
  <c r="L869" i="24"/>
  <c r="L870" i="24"/>
  <c r="L871" i="24"/>
  <c r="L872" i="24"/>
  <c r="L873" i="24"/>
  <c r="L874" i="24"/>
  <c r="L875" i="24"/>
  <c r="L876" i="24"/>
  <c r="L877" i="24"/>
  <c r="L878" i="24"/>
  <c r="L879" i="24"/>
  <c r="L880" i="24"/>
  <c r="L881" i="24"/>
  <c r="L882" i="24"/>
  <c r="L883" i="24"/>
  <c r="L884" i="24"/>
  <c r="L885" i="24"/>
  <c r="L886" i="24"/>
  <c r="L887" i="24"/>
  <c r="L888" i="24"/>
  <c r="L889" i="24"/>
  <c r="L890" i="24"/>
  <c r="L891" i="24"/>
  <c r="L892" i="24"/>
  <c r="L893" i="24"/>
  <c r="L894" i="24"/>
  <c r="L895" i="24"/>
  <c r="L896" i="24"/>
  <c r="L897" i="24"/>
  <c r="L898" i="24"/>
  <c r="L899" i="24"/>
  <c r="L900" i="24"/>
  <c r="L901" i="24"/>
  <c r="L902" i="24"/>
  <c r="L903" i="24"/>
  <c r="L904" i="24"/>
  <c r="L905" i="24"/>
  <c r="L906" i="24"/>
  <c r="L907" i="24"/>
  <c r="L908" i="24"/>
  <c r="L909" i="24"/>
  <c r="L910" i="24"/>
  <c r="L911" i="24"/>
  <c r="L912" i="24"/>
  <c r="L913" i="24"/>
  <c r="L914" i="24"/>
  <c r="L915" i="24"/>
  <c r="L916" i="24"/>
  <c r="L917" i="24"/>
  <c r="L918" i="24"/>
  <c r="L919" i="24"/>
  <c r="L920" i="24"/>
  <c r="L921" i="24"/>
  <c r="L922" i="24"/>
  <c r="L923" i="24"/>
  <c r="L924" i="24"/>
  <c r="L925" i="24"/>
  <c r="L926" i="24"/>
  <c r="L927" i="24"/>
  <c r="L928" i="24"/>
  <c r="L929" i="24"/>
  <c r="L930" i="24"/>
  <c r="L931" i="24"/>
  <c r="L932" i="24"/>
  <c r="L933" i="24"/>
  <c r="L934" i="24"/>
  <c r="L935" i="24"/>
  <c r="L936" i="24"/>
  <c r="L937" i="24"/>
  <c r="L938" i="24"/>
  <c r="L939" i="24"/>
  <c r="L940" i="24"/>
  <c r="L941" i="24"/>
  <c r="L942" i="24"/>
  <c r="L943" i="24"/>
  <c r="L944" i="24"/>
  <c r="L945" i="24"/>
  <c r="L946" i="24"/>
  <c r="L947" i="24"/>
  <c r="L948" i="24"/>
  <c r="L949" i="24"/>
  <c r="L950" i="24"/>
  <c r="L951" i="24"/>
  <c r="L952" i="24"/>
  <c r="L953" i="24"/>
  <c r="L954" i="24"/>
  <c r="L955" i="24"/>
  <c r="L956" i="24"/>
  <c r="L957" i="24"/>
  <c r="L958" i="24"/>
  <c r="L959" i="24"/>
  <c r="L960" i="24"/>
  <c r="L961" i="24"/>
  <c r="L962" i="24"/>
  <c r="L963" i="24"/>
  <c r="L964" i="24"/>
  <c r="L965" i="24"/>
  <c r="L966" i="24"/>
  <c r="L967" i="24"/>
  <c r="L968" i="24"/>
  <c r="L969" i="24"/>
  <c r="L970" i="24"/>
  <c r="L971" i="24"/>
  <c r="L972" i="24"/>
  <c r="L973" i="24"/>
  <c r="L974" i="24"/>
  <c r="L975" i="24"/>
  <c r="L976" i="24"/>
  <c r="L977" i="24"/>
  <c r="L978" i="24"/>
  <c r="L979" i="24"/>
  <c r="L980" i="24"/>
  <c r="L981" i="24"/>
  <c r="L982" i="24"/>
  <c r="L983" i="24"/>
  <c r="L984" i="24"/>
  <c r="L985" i="24"/>
  <c r="L986" i="24"/>
  <c r="L987" i="24"/>
  <c r="L988" i="24"/>
  <c r="L989" i="24"/>
  <c r="L990" i="24"/>
  <c r="L991" i="24"/>
  <c r="L992" i="24"/>
  <c r="L993" i="24"/>
  <c r="L994" i="24"/>
  <c r="L995" i="24"/>
  <c r="L996" i="24"/>
  <c r="L997" i="24"/>
  <c r="L998" i="24"/>
  <c r="L999" i="24"/>
  <c r="L1000" i="24"/>
  <c r="L1001" i="24"/>
  <c r="L1002" i="24"/>
  <c r="L1003" i="24"/>
  <c r="L1004" i="24"/>
  <c r="T8" i="21"/>
  <c r="A5" i="2"/>
  <c r="A7" i="18" s="1"/>
  <c r="G50" i="25"/>
  <c r="G49" i="25"/>
  <c r="G47" i="25"/>
  <c r="G44" i="25"/>
  <c r="G43" i="25"/>
  <c r="G42" i="25"/>
  <c r="G41" i="25"/>
  <c r="C50" i="25"/>
  <c r="I52" i="25"/>
  <c r="E52" i="25"/>
  <c r="G40" i="25"/>
  <c r="C49" i="25"/>
  <c r="C48" i="25"/>
  <c r="C47" i="25"/>
  <c r="C46" i="25"/>
  <c r="C45" i="25"/>
  <c r="C44" i="25"/>
  <c r="C43" i="25"/>
  <c r="C42" i="25"/>
  <c r="C41" i="25"/>
  <c r="C40" i="25"/>
  <c r="C52" i="25" s="1"/>
  <c r="I27" i="25"/>
  <c r="I26" i="25"/>
  <c r="I25" i="25"/>
  <c r="I24" i="25"/>
  <c r="I23" i="25"/>
  <c r="C30" i="25"/>
  <c r="E30" i="25"/>
  <c r="E27" i="25"/>
  <c r="E26" i="25"/>
  <c r="C26" i="25"/>
  <c r="E25" i="25"/>
  <c r="E24" i="25"/>
  <c r="E23" i="25"/>
  <c r="C29" i="25"/>
  <c r="G29" i="25" s="1"/>
  <c r="C28" i="25"/>
  <c r="G28" i="25"/>
  <c r="C27" i="25"/>
  <c r="G27" i="25" s="1"/>
  <c r="C25" i="25"/>
  <c r="C24" i="25"/>
  <c r="C23" i="25"/>
  <c r="K4" i="25"/>
  <c r="K10" i="25"/>
  <c r="K9" i="25"/>
  <c r="K8" i="25"/>
  <c r="K7" i="25"/>
  <c r="K6" i="25"/>
  <c r="K11" i="25"/>
  <c r="K3" i="25"/>
  <c r="G10" i="25"/>
  <c r="G9" i="25"/>
  <c r="G8" i="25"/>
  <c r="G7" i="25"/>
  <c r="G6" i="25"/>
  <c r="G5" i="25"/>
  <c r="E5" i="25"/>
  <c r="I5" i="25" s="1"/>
  <c r="E4" i="25"/>
  <c r="E3" i="25"/>
  <c r="C9" i="25"/>
  <c r="I9" i="25" s="1"/>
  <c r="C8" i="25"/>
  <c r="I8" i="25" s="1"/>
  <c r="C3" i="25"/>
  <c r="C4" i="25"/>
  <c r="C5" i="25"/>
  <c r="C6" i="25"/>
  <c r="C7" i="25"/>
  <c r="I7" i="25" s="1"/>
  <c r="C10" i="25"/>
  <c r="C11" i="25"/>
  <c r="I11" i="25" s="1"/>
  <c r="D36" i="17"/>
  <c r="L36" i="17" s="1"/>
  <c r="N45" i="17"/>
  <c r="N40" i="17"/>
  <c r="H20" i="17"/>
  <c r="H29" i="17" s="1"/>
  <c r="H33" i="17" s="1"/>
  <c r="H49" i="17" s="1"/>
  <c r="H65" i="17" s="1"/>
  <c r="A5" i="22"/>
  <c r="N23" i="17"/>
  <c r="N11" i="17"/>
  <c r="L20" i="17"/>
  <c r="L29" i="17" s="1"/>
  <c r="L33" i="17" s="1"/>
  <c r="F20" i="17"/>
  <c r="F29" i="17" s="1"/>
  <c r="F33" i="17" s="1"/>
  <c r="F49" i="17" s="1"/>
  <c r="F65" i="17" s="1"/>
  <c r="D20" i="17"/>
  <c r="D29" i="17" s="1"/>
  <c r="D33" i="17" s="1"/>
  <c r="N25" i="17"/>
  <c r="N16" i="17"/>
  <c r="N14" i="17"/>
  <c r="A3" i="17"/>
  <c r="A2" i="17"/>
  <c r="G13" i="25" l="1"/>
  <c r="G25" i="25"/>
  <c r="G52" i="25"/>
  <c r="C32" i="25"/>
  <c r="G26" i="25"/>
  <c r="I10" i="25"/>
  <c r="E13" i="25"/>
  <c r="C13" i="25"/>
  <c r="I3" i="25"/>
  <c r="G30" i="25"/>
  <c r="E32" i="25"/>
  <c r="I32" i="25"/>
  <c r="I4" i="25"/>
  <c r="K13" i="25"/>
  <c r="G24" i="25"/>
  <c r="V38" i="21"/>
  <c r="R38" i="21"/>
  <c r="V44" i="21"/>
  <c r="X44" i="21"/>
  <c r="N63" i="21"/>
  <c r="X27" i="21"/>
  <c r="X17" i="21"/>
  <c r="D49" i="17"/>
  <c r="D65" i="17" s="1"/>
  <c r="I6" i="25"/>
  <c r="G23" i="25"/>
  <c r="G32" i="25" s="1"/>
  <c r="X12" i="21"/>
  <c r="X48" i="21"/>
  <c r="L49" i="17"/>
  <c r="L65" i="17" s="1"/>
  <c r="A5" i="21"/>
  <c r="T38" i="21"/>
  <c r="V22" i="21"/>
  <c r="V17" i="21"/>
  <c r="V48" i="21"/>
  <c r="V50" i="21" s="1"/>
  <c r="V27" i="21"/>
  <c r="I9" i="30"/>
  <c r="A6" i="17"/>
  <c r="T22" i="21"/>
  <c r="T17" i="21"/>
  <c r="T48" i="21"/>
  <c r="T50" i="21" s="1"/>
  <c r="C17" i="30"/>
  <c r="C35" i="30"/>
  <c r="I12" i="30"/>
  <c r="I8" i="30"/>
  <c r="P18" i="21"/>
  <c r="P13" i="21"/>
  <c r="R48" i="21"/>
  <c r="R50" i="21" s="1"/>
  <c r="I7" i="30"/>
  <c r="R17" i="21"/>
  <c r="I13" i="30"/>
  <c r="N36" i="17"/>
  <c r="I13" i="25" l="1"/>
  <c r="X38" i="21"/>
  <c r="X16" i="21"/>
  <c r="X18" i="21" s="1"/>
  <c r="X13" i="21"/>
  <c r="X22" i="21"/>
  <c r="I34" i="25"/>
  <c r="K15" i="25"/>
  <c r="T44" i="21"/>
  <c r="T16" i="21"/>
  <c r="T18" i="21" s="1"/>
  <c r="V16" i="21"/>
  <c r="V18" i="21" s="1"/>
  <c r="X50" i="21"/>
  <c r="T27" i="21"/>
  <c r="V12" i="21"/>
  <c r="V13" i="21" s="1"/>
  <c r="R27" i="21"/>
  <c r="R16" i="21"/>
  <c r="R18" i="21" s="1"/>
  <c r="R12" i="21"/>
  <c r="R13" i="21" s="1"/>
  <c r="I11" i="30"/>
  <c r="I14" i="30"/>
  <c r="T12" i="21"/>
  <c r="T13" i="21" s="1"/>
  <c r="R44" i="21"/>
  <c r="E35" i="30"/>
  <c r="G35" i="30"/>
  <c r="G36" i="30" s="1"/>
  <c r="P20" i="21"/>
  <c r="P24" i="21" s="1"/>
  <c r="P29" i="21" s="1"/>
  <c r="I15" i="30"/>
  <c r="I10" i="30"/>
  <c r="E17" i="30"/>
  <c r="R22" i="21"/>
  <c r="G17" i="30"/>
  <c r="J18" i="17" l="1"/>
  <c r="N18" i="17" s="1"/>
  <c r="X20" i="21"/>
  <c r="X24" i="21" s="1"/>
  <c r="X29" i="21" s="1"/>
  <c r="T20" i="21"/>
  <c r="T24" i="21" s="1"/>
  <c r="T29" i="21" s="1"/>
  <c r="V20" i="21"/>
  <c r="V24" i="21" s="1"/>
  <c r="V29" i="21" s="1"/>
  <c r="I17" i="30"/>
  <c r="I18" i="30" s="1"/>
  <c r="X52" i="21"/>
  <c r="X54" i="21" s="1"/>
  <c r="R20" i="21"/>
  <c r="R24" i="21" s="1"/>
  <c r="R29" i="21" s="1"/>
  <c r="P54" i="21"/>
  <c r="P63" i="21" s="1"/>
  <c r="J20" i="17"/>
  <c r="B18" i="17" l="1"/>
  <c r="L109" i="1"/>
  <c r="X63" i="21"/>
  <c r="J79" i="17"/>
  <c r="N79" i="17" s="1"/>
  <c r="T52" i="21"/>
  <c r="T54" i="21" s="1"/>
  <c r="T63" i="21" s="1"/>
  <c r="J47" i="17"/>
  <c r="N47" i="17" s="1"/>
  <c r="N20" i="17"/>
  <c r="P20" i="17" s="1"/>
  <c r="F9" i="35" l="1"/>
  <c r="L3" i="1"/>
  <c r="J63" i="17"/>
  <c r="N63" i="17" s="1"/>
  <c r="R52" i="21"/>
  <c r="R54" i="21" s="1"/>
  <c r="R63" i="21" s="1"/>
  <c r="J27" i="17" l="1"/>
  <c r="V52" i="21"/>
  <c r="V54" i="21" s="1"/>
  <c r="V63" i="21" s="1"/>
  <c r="N27" i="17" l="1"/>
  <c r="B27" i="17"/>
  <c r="J29" i="17"/>
  <c r="N29" i="17" l="1"/>
  <c r="N33" i="17" s="1"/>
  <c r="N49" i="17" s="1"/>
  <c r="J33" i="17"/>
  <c r="J49" i="17" s="1"/>
  <c r="J65" i="17" s="1"/>
  <c r="N65" i="17" l="1"/>
  <c r="P49" i="17"/>
  <c r="P29" i="17"/>
  <c r="P65" i="17" l="1"/>
  <c r="P99" i="17"/>
  <c r="P129" i="17" l="1"/>
  <c r="F10" i="35"/>
  <c r="K2" i="18" l="1"/>
  <c r="I2" i="18" l="1"/>
  <c r="G2" i="18"/>
  <c r="F11" i="35"/>
  <c r="E11" i="35" l="1"/>
  <c r="P114" i="17" l="1"/>
  <c r="C10" i="35" s="1"/>
  <c r="L28" i="36"/>
  <c r="J109" i="1" l="1"/>
  <c r="J3" i="1" s="1"/>
  <c r="I27" i="36"/>
  <c r="L40" i="36"/>
  <c r="I39" i="36" s="1"/>
  <c r="C9" i="35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A4D2044-89E6-4DE9-BB9A-0B0664B34A92}" keepAlive="1" name="Consulta - Arquivo de Amostra" description="Conexão com a consulta 'Arquivo de Amostra' na pasta de trabalho." type="5" refreshedVersion="0" background="1">
    <dbPr connection="Provider=Microsoft.Mashup.OleDb.1;Data Source=$Workbook$;Location=&quot;Arquivo de Amostra&quot;;Extended Properties=&quot;&quot;" command="SELECT * FROM [Arquivo de Amostra]"/>
  </connection>
  <connection id="2" xr16:uid="{78A8AD64-D99A-4821-85D5-A2F833AA2123}" keepAlive="1" name="Consulta - Consulta1" description="Conexão com a consulta 'Consulta1' na pasta de trabalho." type="5" refreshedVersion="0" background="1">
    <dbPr connection="Provider=Microsoft.Mashup.OleDb.1;Data Source=$Workbook$;Location=Consulta1;Extended Properties=&quot;&quot;" command="SELECT * FROM [Consulta1]"/>
  </connection>
  <connection id="3" xr16:uid="{5E18C1BB-EA3D-4F02-805D-4AD943FA0E1F}" keepAlive="1" name="Consulta - CSLL" description="Conexão com a consulta 'CSLL' na pasta de trabalho." type="5" refreshedVersion="6" background="1" saveData="1">
    <dbPr connection="Provider=Microsoft.Mashup.OleDb.1;Data Source=$Workbook$;Location=CSLL;Extended Properties=&quot;&quot;" command="SELECT * FROM [CSLL]"/>
  </connection>
  <connection id="4" xr16:uid="{29377FD8-5F38-4D0E-BF69-DA1928788F90}" keepAlive="1" name="Consulta - dPlcta2018" description="Conexão com a consulta 'dPlcta2018' na pasta de trabalho." type="5" refreshedVersion="0" background="1">
    <dbPr connection="Provider=Microsoft.Mashup.OleDb.1;Data Source=$Workbook$;Location=dPlcta2018;Extended Properties=&quot;&quot;" command="SELECT * FROM [dPlcta2018]"/>
  </connection>
  <connection id="5" xr16:uid="{2CED34D9-FA39-469A-B074-39E2405358DC}" keepAlive="1" name="Consulta - IRPJ" description="Conexão com a consulta 'IRPJ' na pasta de trabalho." type="5" refreshedVersion="6" background="1" saveData="1">
    <dbPr connection="Provider=Microsoft.Mashup.OleDb.1;Data Source=$Workbook$;Location=IRPJ;Extended Properties=&quot;&quot;" command="SELECT * FROM [IRPJ]"/>
  </connection>
  <connection id="6" xr16:uid="{B60FAC3F-504F-4F33-8ABB-69A17C5A6F34}" keepAlive="1" name="Consulta - Meses" description="Conexão com a consulta 'Meses' na pasta de trabalho." type="5" refreshedVersion="0" background="1">
    <dbPr connection="Provider=Microsoft.Mashup.OleDb.1;Data Source=$Workbook$;Location=Meses;Extended Properties=&quot;&quot;" command="SELECT * FROM [Meses]"/>
  </connection>
  <connection id="7" xr16:uid="{D81147AF-36CE-4B1D-9A48-06F943902947}" keepAlive="1" name="Consulta - Parâmetro de Arquivo de Amostra1" description="Conexão com a consulta 'Parâmetro de Arquivo de Amostra1' na pasta de trabalho." type="5" refreshedVersion="0" background="1">
    <dbPr connection="Provider=Microsoft.Mashup.OleDb.1;Data Source=$Workbook$;Location=&quot;Parâmetro de Arquivo de Amostra1&quot;;Extended Properties=&quot;&quot;" command="SELECT * FROM [Parâmetro de Arquivo de Amostra1]"/>
  </connection>
  <connection id="8" xr16:uid="{BF0FD88F-1E0E-40BF-9393-43F236D18FDD}" keepAlive="1" name="Consulta - tb2018" description="Conexão com a consulta 'tb2018' na pasta de trabalho." type="5" refreshedVersion="6" background="1" saveData="1">
    <dbPr connection="Provider=Microsoft.Mashup.OleDb.1;Data Source=$Workbook$;Location=tb2018;Extended Properties=&quot;&quot;" command="SELECT * FROM [tb2018]"/>
  </connection>
  <connection id="9" xr16:uid="{1EB399BD-2CD4-4969-B9F7-CB7DC15EAAEB}" keepAlive="1" name="Consulta - tb2019" description="Conexão com a consulta 'tb2019' na pasta de trabalho." type="5" refreshedVersion="6" background="1" saveData="1">
    <dbPr connection="Provider=Microsoft.Mashup.OleDb.1;Data Source=$Workbook$;Location=tb2019;Extended Properties=&quot;&quot;" command="SELECT * FROM [tb2019]"/>
  </connection>
  <connection id="10" xr16:uid="{00000000-0015-0000-FFFF-FFFF00000000}" keepAlive="1" name="Consulta - tbDez16" description="Conexão com a consulta 'tbDez16' na pasta de trabalho." type="5" refreshedVersion="6" background="1" saveData="1">
    <dbPr connection="Provider=Microsoft.Mashup.OleDb.1;Data Source=$Workbook$;Location=tbDez16;Extended Properties=&quot;&quot;" command="SELECT * FROM [tbDez16]"/>
  </connection>
  <connection id="11" xr16:uid="{00000000-0015-0000-FFFF-FFFF01000000}" keepAlive="1" name="Consulta - tbDez17" description="Conexão com a consulta 'tbDez17' na pasta de trabalho." type="5" refreshedVersion="6" background="1" saveData="1">
    <dbPr connection="Provider=Microsoft.Mashup.OleDb.1;Data Source=$Workbook$;Location=tbDez17;Extended Properties=&quot;&quot;" command="SELECT * FROM [tbDez17]"/>
  </connection>
  <connection id="12" xr16:uid="{7155EE01-0F2D-4FB1-B73E-71A6E5D36A02}" keepAlive="1" name="Consulta - tbPlcta" description="Conexão com a consulta 'tbPlcta' na pasta de trabalho." type="5" refreshedVersion="0" background="1">
    <dbPr connection="Provider=Microsoft.Mashup.OleDb.1;Data Source=$Workbook$;Location=tbPlcta;Extended Properties=&quot;&quot;" command="SELECT * FROM [tbPlcta]"/>
  </connection>
  <connection id="13" xr16:uid="{CA3E6E50-D99D-4FBE-BC3B-EABDD80DF38C}" keepAlive="1" name="Consulta - Transformar Arquivo de Balancetes" description="Conexão com a consulta 'Transformar Arquivo de Balancetes' na pasta de trabalho." type="5" refreshedVersion="0" background="1">
    <dbPr connection="Provider=Microsoft.Mashup.OleDb.1;Data Source=$Workbook$;Location=&quot;Transformar Arquivo de Balancetes&quot;;Extended Properties=&quot;&quot;" command="SELECT * FROM [Transformar Arquivo de Balancetes]"/>
  </connection>
  <connection id="14" xr16:uid="{BF8065B0-C9C5-4379-B0C3-6EAB11F5D1C0}" keepAlive="1" name="Consulta - Transformar o Arquivo de Exemplo de Balancetes" description="Conexão com a consulta 'Transformar o Arquivo de Exemplo de Balancetes' na pasta de trabalho." type="5" refreshedVersion="0" background="1">
    <dbPr connection="Provider=Microsoft.Mashup.OleDb.1;Data Source=$Workbook$;Location=&quot;Transformar o Arquivo de Exemplo de Balancetes&quot;;Extended Properties=&quot;&quot;" command="SELECT * FROM [Transformar o Arquivo de Exemplo de Balancetes]"/>
  </connection>
</connections>
</file>

<file path=xl/sharedStrings.xml><?xml version="1.0" encoding="utf-8"?>
<sst xmlns="http://schemas.openxmlformats.org/spreadsheetml/2006/main" count="8064" uniqueCount="2451">
  <si>
    <t>Suape Complexo Industrial Portuário</t>
  </si>
  <si>
    <t>Governador Eraldo Gueiros</t>
  </si>
  <si>
    <t>CNPJ Nº 11.448.933/0001-62</t>
  </si>
  <si>
    <t>Demonstrações Contábeis e Gerenciais</t>
  </si>
  <si>
    <t>Referentes ao Período Findo em</t>
  </si>
  <si>
    <t>31 de Maio de 2011</t>
  </si>
  <si>
    <t>SUAPE COMPLEXO</t>
  </si>
  <si>
    <t>INDUSTRIA</t>
  </si>
  <si>
    <t>L PORTUARIO               Balancete Con</t>
  </si>
  <si>
    <t>t畸il Anal咜ico</t>
  </si>
  <si>
    <t>01/</t>
  </si>
  <si>
    <t>2/2013 a 31/12/2</t>
  </si>
  <si>
    <t>13   Pag.:    1</t>
  </si>
  <si>
    <t>CLASSIFICAÇÃO</t>
  </si>
  <si>
    <t>11.448.933/0001</t>
  </si>
  <si>
    <t>E</t>
  </si>
  <si>
    <t>m</t>
  </si>
  <si>
    <t>iss縊: 25/03/2014</t>
  </si>
  <si>
    <t>Hora: 08:0</t>
  </si>
  <si>
    <t>CONTA</t>
  </si>
  <si>
    <t>REDUZIDO</t>
  </si>
  <si>
    <t>DESCRICAO</t>
  </si>
  <si>
    <t>ANTERIO</t>
  </si>
  <si>
    <t>R</t>
  </si>
  <si>
    <t>DEBIT</t>
  </si>
  <si>
    <t>O</t>
  </si>
  <si>
    <t>CREDIT</t>
  </si>
  <si>
    <t>SALD</t>
  </si>
  <si>
    <t>SALDO</t>
  </si>
  <si>
    <t>===============</t>
  </si>
  <si>
    <t>=========</t>
  </si>
  <si>
    <t>=======================================</t>
  </si>
  <si>
    <t>================</t>
  </si>
  <si>
    <t>=</t>
  </si>
  <si>
    <t>ATIVO</t>
  </si>
  <si>
    <t>-</t>
  </si>
  <si>
    <t>1.1</t>
  </si>
  <si>
    <t>ATIVO CIRCULANTE</t>
  </si>
  <si>
    <t>1.1.01</t>
  </si>
  <si>
    <t>DISPONIBILIDADES</t>
  </si>
  <si>
    <t>1.1.01.01</t>
  </si>
  <si>
    <t>CAIXA GERAL</t>
  </si>
  <si>
    <t>1.1.01.01.002</t>
  </si>
  <si>
    <t>Fundo Fixo</t>
  </si>
  <si>
    <t>1.1.01.02</t>
  </si>
  <si>
    <t>BANCOS C/MOVIMENTO</t>
  </si>
  <si>
    <t>1.1.01.02.004</t>
  </si>
  <si>
    <t>Bco Real sa. c/c 6.300.390</t>
  </si>
  <si>
    <t>1.1.01.02.005</t>
  </si>
  <si>
    <t>Banco do Brasil c/c 17.857-8</t>
  </si>
  <si>
    <t>1.1.01.02.007</t>
  </si>
  <si>
    <t>Bco Real sa  Poupan軋 9595-5</t>
  </si>
  <si>
    <t>1.1.01.02.013</t>
  </si>
  <si>
    <t>Bco do Brasil sa. c/c.024770</t>
  </si>
  <si>
    <t>1.1.01.02.015</t>
  </si>
  <si>
    <t>Bco do Brasil sa. c/c 11111 ag.3434</t>
  </si>
  <si>
    <t>1.1.01.02.016</t>
  </si>
  <si>
    <t>Bco do Brasil c/24770 -POUPANﾇA</t>
  </si>
  <si>
    <t>1.1.01.02.023</t>
  </si>
  <si>
    <t>Bco Brasil s.a. c/c 30283-X</t>
  </si>
  <si>
    <t>1.1.01.02.024</t>
  </si>
  <si>
    <t>POUPANﾇA BCO DO BRASIL  SA. C/30283X</t>
  </si>
  <si>
    <t>1.1.01.02.025</t>
  </si>
  <si>
    <t>Bco-Santander sa c. 13388.4</t>
  </si>
  <si>
    <t>1.1.01.02.027</t>
  </si>
  <si>
    <t>Bco-Santander sa c. 13.367-1-FURP</t>
  </si>
  <si>
    <t>1.1.01.02.028</t>
  </si>
  <si>
    <t>Bco Santander sa c. 13.374.3 Petrobras</t>
  </si>
  <si>
    <t>1.1.01.02.029</t>
  </si>
  <si>
    <t>Bco Santander sa c/13.376-7</t>
  </si>
  <si>
    <t>1.1.01.02.030</t>
  </si>
  <si>
    <t>Bco Santander sa. c/13.368-8</t>
  </si>
  <si>
    <t>1.1.01.02.033</t>
  </si>
  <si>
    <t>Bco Brasil c/c.34.553-9</t>
  </si>
  <si>
    <t>1.1.01.02.034</t>
  </si>
  <si>
    <t>Bco Brasil c/34553-9 -POUPANﾇA</t>
  </si>
  <si>
    <t>1.1.01.02.036</t>
  </si>
  <si>
    <t>Caixa E.Federal c/c.250.2 ag.3515</t>
  </si>
  <si>
    <t>1.1.01.02.037</t>
  </si>
  <si>
    <t>Caixa E.Federal  c.252.9 ag.3515  BNDES</t>
  </si>
  <si>
    <t>1.1.01.02.038</t>
  </si>
  <si>
    <t>Cx.Economica Federal Ag.3515 c/346.0</t>
  </si>
  <si>
    <t>1.1.01.02.039</t>
  </si>
  <si>
    <t>Caixa E.Federal c/c 22-0 Poupan軋</t>
  </si>
  <si>
    <t>1.1.01.02.040</t>
  </si>
  <si>
    <t>Banco Brasil s.a c/c.40.814X</t>
  </si>
  <si>
    <t>1.1.01.02.042</t>
  </si>
  <si>
    <t>Caixa Poupan軋 c/250-2 c/apl.29-8</t>
  </si>
  <si>
    <t>1.1.01.03</t>
  </si>
  <si>
    <t>APLICAﾇﾃOES FINANCEIRAS</t>
  </si>
  <si>
    <t>1.1.01.03.026</t>
  </si>
  <si>
    <t>CDB- Santander sa c. 13.376-7</t>
  </si>
  <si>
    <t>1.1.01.03.029</t>
  </si>
  <si>
    <t>CDB- Santander. C/13.368-8</t>
  </si>
  <si>
    <t>1.1.01.03.031</t>
  </si>
  <si>
    <t>CDB-Santander sa. c/13.388-4</t>
  </si>
  <si>
    <t>1.1.01.03.035</t>
  </si>
  <si>
    <t>CDB-Bco do Brasil sa.c/17857-8</t>
  </si>
  <si>
    <t>1.1.01.03.037</t>
  </si>
  <si>
    <t>CDB-BCO BRASIL c/34554-7</t>
  </si>
  <si>
    <t>1.1.01.03.039</t>
  </si>
  <si>
    <t>CDB-SANTANDER C/380.8</t>
  </si>
  <si>
    <t>1.1.01.03.043</t>
  </si>
  <si>
    <t>Caixa Econ.Fed.c/c/250/2</t>
  </si>
  <si>
    <t>1.1.01.03.044</t>
  </si>
  <si>
    <t>Caixa Econ.Fed. 252.9 BNDES</t>
  </si>
  <si>
    <t>1.1.01.03.045</t>
  </si>
  <si>
    <t>CDB-Brasil s.a c/40814X</t>
  </si>
  <si>
    <t>1.1.01.03.046</t>
  </si>
  <si>
    <t>Caixa Fic GIRO Empresas</t>
  </si>
  <si>
    <t>1.1.02</t>
  </si>
  <si>
    <t>REALIZﾁVEL A CURTO PRAZO</t>
  </si>
  <si>
    <t>1.1.02.01</t>
  </si>
  <si>
    <t>CLIENTES</t>
  </si>
  <si>
    <t>1.1.02.01.001</t>
  </si>
  <si>
    <t>Clientes Diversos</t>
  </si>
  <si>
    <t>1.1.02.01.999</t>
  </si>
  <si>
    <t>(-)Prov p/cr馘 de liqui. duvidosa</t>
  </si>
  <si>
    <t>1.1.02.02</t>
  </si>
  <si>
    <t>ADIANTAMENTO A FORNECEDORES</t>
  </si>
  <si>
    <t>1.1.02.02.001</t>
  </si>
  <si>
    <t>Adiant. a fornecedores diversos</t>
  </si>
  <si>
    <t>1.1.02.03</t>
  </si>
  <si>
    <t>ADIANTAMENTO A FUNCIONﾁRIOS</t>
  </si>
  <si>
    <t>1.1.02.03.001</t>
  </si>
  <si>
    <t>Emprest. de Ferias</t>
  </si>
  <si>
    <t>1.1.02.03.002</t>
  </si>
  <si>
    <t>Adiantamento de f駻ias</t>
  </si>
  <si>
    <t>1.1.02.03.004</t>
  </si>
  <si>
    <t>Adiantamento p/desp de viagens</t>
  </si>
  <si>
    <t>1.1.02.03.005</t>
  </si>
  <si>
    <t>Ad. p/ aquisi鈬o de materias</t>
  </si>
  <si>
    <t>1.1.02.03.006</t>
  </si>
  <si>
    <t>Divs creditos</t>
  </si>
  <si>
    <t>1.1.02.05</t>
  </si>
  <si>
    <t>IMPOSTOS A RECUPERAR</t>
  </si>
  <si>
    <t>1.1.02.05.001</t>
  </si>
  <si>
    <t>I.R.R.F a recuperar</t>
  </si>
  <si>
    <t>1.1.02.05.003</t>
  </si>
  <si>
    <t>I.S.S. a recuperar</t>
  </si>
  <si>
    <t>1.1.02.05.004</t>
  </si>
  <si>
    <t>PIS pasep a reuperar</t>
  </si>
  <si>
    <t>1.1.02.05.005</t>
  </si>
  <si>
    <t>COFINS a recuperar</t>
  </si>
  <si>
    <t>1.1.02.05.007</t>
  </si>
  <si>
    <t>IR Retido Fonte no Exercicio</t>
  </si>
  <si>
    <t>1.1.02.05.009</t>
  </si>
  <si>
    <t>IR Pago a maior ou ind. no Exerc.</t>
  </si>
  <si>
    <t>1.1.02.05.017</t>
  </si>
  <si>
    <t>CSLL Retida n/fonte n/exerc.</t>
  </si>
  <si>
    <t>1.1.02.05.031</t>
  </si>
  <si>
    <t>Pagto Pis a Maior</t>
  </si>
  <si>
    <t>1.1.02.05.032</t>
  </si>
  <si>
    <t>Pagto Cofins a Maior</t>
  </si>
  <si>
    <t>1.1.02.05.036</t>
  </si>
  <si>
    <t>CSLL SALDO NEGATIVO ESTIMATIVA 2008</t>
  </si>
  <si>
    <t>1.1.02.05.037</t>
  </si>
  <si>
    <t>PG.CSLL-Estimativa 2009</t>
  </si>
  <si>
    <t>1.1.02.05.039</t>
  </si>
  <si>
    <t>CSRF A Recuperar</t>
  </si>
  <si>
    <t>1.1.02.05.040</t>
  </si>
  <si>
    <t>ICMS A Recuperar</t>
  </si>
  <si>
    <t>1.1.02.05.043</t>
  </si>
  <si>
    <t>PG- CSLL ESTIMATIVA/2007</t>
  </si>
  <si>
    <t>1.1.02.05.044</t>
  </si>
  <si>
    <t>IR -ESTIMATIVA/2008</t>
  </si>
  <si>
    <t>1.1.02.05.045</t>
  </si>
  <si>
    <t>CSLL - ESTIMATIVA/2008</t>
  </si>
  <si>
    <t>1.1.02.05.046</t>
  </si>
  <si>
    <t>IR-ESTIMATIVA 2010</t>
  </si>
  <si>
    <t>1.1.02.05.047</t>
  </si>
  <si>
    <t>CSLL-ESTIMATIVA 2010</t>
  </si>
  <si>
    <t>1.1.02.05.050</t>
  </si>
  <si>
    <t>IR Pago a Maior Exerc.2010</t>
  </si>
  <si>
    <t>1.1.02.05.051</t>
  </si>
  <si>
    <t>IR-Pago a Maior Exerc.211</t>
  </si>
  <si>
    <t>1.1.02.05.052</t>
  </si>
  <si>
    <t>CSLL-Pago a Maior Exerc.2011</t>
  </si>
  <si>
    <t>1.1.02.05.053</t>
  </si>
  <si>
    <t>IR Saldo Negativo-2010</t>
  </si>
  <si>
    <t>1.1.02.05.054</t>
  </si>
  <si>
    <t>IRPJ ESTIMATIVA - 2012</t>
  </si>
  <si>
    <t>1.1.02.05.055</t>
  </si>
  <si>
    <t>CSLL ESTIMATIVA - 2012</t>
  </si>
  <si>
    <t>1.1.02.05.056</t>
  </si>
  <si>
    <t>IRRF PG.INDEVIDO-2012</t>
  </si>
  <si>
    <t>1.1.02.05.057</t>
  </si>
  <si>
    <t>IRPJ - EXERCICIO 2013</t>
  </si>
  <si>
    <t>1.1.02.05.058</t>
  </si>
  <si>
    <t>CSLL -EXERCICIO 2013</t>
  </si>
  <si>
    <t>1.1.02.06</t>
  </si>
  <si>
    <t>TﾍTULOS A RECEBER</t>
  </si>
  <si>
    <t>1.1.02.06.001</t>
  </si>
  <si>
    <t>Terrenos</t>
  </si>
  <si>
    <t>1.1.02.06.003</t>
  </si>
  <si>
    <t>Outros Devedores</t>
  </si>
  <si>
    <t>1.1.02.07</t>
  </si>
  <si>
    <t>TRIBUTOS A RECUP - SALDO NEGATIVO</t>
  </si>
  <si>
    <t>1.1.02.07.003</t>
  </si>
  <si>
    <t>IRPJ Saldo Neg.Exercicio/06</t>
  </si>
  <si>
    <t>1.1.02.07.006</t>
  </si>
  <si>
    <t>IRPJ-Saldo Negativo-2010</t>
  </si>
  <si>
    <t>1.1.02.07.022</t>
  </si>
  <si>
    <t>CSLL - Saldo Negativo Exerc 2005</t>
  </si>
  <si>
    <t>1.1.02.07.023</t>
  </si>
  <si>
    <t>CSLL Saldo Neg.Exercicio/06</t>
  </si>
  <si>
    <t>1.1.02.07.024</t>
  </si>
  <si>
    <t>csll-Saldo Negativo Exercicio/07</t>
  </si>
  <si>
    <t>1.1.02.07.025</t>
  </si>
  <si>
    <t>CSLL- Saldo Negativo exercicio/2009</t>
  </si>
  <si>
    <t>1.1.02.07.026</t>
  </si>
  <si>
    <t>CSLL-Saldo Negativo 2011</t>
  </si>
  <si>
    <t>1.1.02.07.027</t>
  </si>
  <si>
    <t>CSLL-Saldo Negativo Exerc.2012</t>
  </si>
  <si>
    <t>1.1.02.07.028</t>
  </si>
  <si>
    <t>IRPJ-Saldo Negativo Exerc.2012</t>
  </si>
  <si>
    <t>1.1.02.08</t>
  </si>
  <si>
    <t>PROV. IR -S / APLICAﾇﾃO</t>
  </si>
  <si>
    <t>1.1.02.08.001</t>
  </si>
  <si>
    <t>BANCO DO BRASIL SA.</t>
  </si>
  <si>
    <t>1.1.02.08.002</t>
  </si>
  <si>
    <t>SANTANDER SA</t>
  </si>
  <si>
    <t>1.1.02.08.003</t>
  </si>
  <si>
    <t>CAIXA E.FEDERAL</t>
  </si>
  <si>
    <t>1.1.02.10</t>
  </si>
  <si>
    <t>CAUﾇﾕES / DEPOSITOS VINCULADOS</t>
  </si>
  <si>
    <t>1.1.02.10.001</t>
  </si>
  <si>
    <t>Depositos legais</t>
  </si>
  <si>
    <t>1.1.02.10.002</t>
  </si>
  <si>
    <t>Cau鋏es</t>
  </si>
  <si>
    <t>1.1.02.20</t>
  </si>
  <si>
    <t>OUTROS CRﾉDITOS</t>
  </si>
  <si>
    <t>1.1.02.20.001</t>
  </si>
  <si>
    <t>Casa Militar</t>
  </si>
  <si>
    <t>1.1.02.20.002</t>
  </si>
  <si>
    <t>SASS</t>
  </si>
  <si>
    <t>1.1.02.20.004</t>
  </si>
  <si>
    <t>Prefeitura M. de Ipojuca</t>
  </si>
  <si>
    <t>1.1.02.20.006</t>
  </si>
  <si>
    <t>SDETE (Leia)</t>
  </si>
  <si>
    <t>1.1.02.20.008</t>
  </si>
  <si>
    <t>SDETE (Taciana)</t>
  </si>
  <si>
    <t>1.1.02.20.011</t>
  </si>
  <si>
    <t>P.Cidade do Recife (veronica)</t>
  </si>
  <si>
    <t>1.1.03</t>
  </si>
  <si>
    <t>DESPESAS PAGAS ANTECIPADAMENTE</t>
  </si>
  <si>
    <t>1.1.03.02</t>
  </si>
  <si>
    <t>PAGAMENTO ANTECIPADO-OUTRAS DESPESAS</t>
  </si>
  <si>
    <t>1.1.03.02.001</t>
  </si>
  <si>
    <t>13ｺ Salarios</t>
  </si>
  <si>
    <t>1.3</t>
  </si>
  <si>
    <t>ATIVO NﾃO CIRCULANTE</t>
  </si>
  <si>
    <t>1.3.00</t>
  </si>
  <si>
    <t>REALIZAVEL A LONGO PRAZO</t>
  </si>
  <si>
    <t>1.3.00.06</t>
  </si>
  <si>
    <t>TITULOS A RECEBER</t>
  </si>
  <si>
    <t>1.3.00.06.001</t>
  </si>
  <si>
    <t>Pandenor</t>
  </si>
  <si>
    <t>1.3.00.06.002</t>
  </si>
  <si>
    <t>Suape Graneis</t>
  </si>
  <si>
    <t>1.3.00.06.005</t>
  </si>
  <si>
    <t>Sec.de Desenvolvimento Economico</t>
  </si>
  <si>
    <t>1.3.00.12</t>
  </si>
  <si>
    <t>EMPRESTIMOS COMPULSORIO</t>
  </si>
  <si>
    <t>1.3.00.12.001</t>
  </si>
  <si>
    <t>Incidente sobre aquisi鈬o</t>
  </si>
  <si>
    <t>1.3.00.12.002</t>
  </si>
  <si>
    <t>1.3.00.15</t>
  </si>
  <si>
    <t>CRﾉDITOS FISCAIS</t>
  </si>
  <si>
    <t>1.3.00.15.001</t>
  </si>
  <si>
    <t>IRPJ</t>
  </si>
  <si>
    <t>1.3.00.15.002</t>
  </si>
  <si>
    <t>CSLL</t>
  </si>
  <si>
    <t>1.3.00.20</t>
  </si>
  <si>
    <t>Outros cr馘itos</t>
  </si>
  <si>
    <t>1.3.00.20.002</t>
  </si>
  <si>
    <t>Adiant.p/aumento de Capital</t>
  </si>
  <si>
    <t>1.3.00.21</t>
  </si>
  <si>
    <t>CONTRATOS EM COMODATO</t>
  </si>
  <si>
    <t>1.3.00.21.002</t>
  </si>
  <si>
    <t>Indaia Ltda</t>
  </si>
  <si>
    <t>1.3.01</t>
  </si>
  <si>
    <t>IVESTIMENTOS</t>
  </si>
  <si>
    <t>1.3.01.01</t>
  </si>
  <si>
    <t>QUOTAS E CERTIFICADOS</t>
  </si>
  <si>
    <t>1.3.01.01.001</t>
  </si>
  <si>
    <t>Quotas e certificados - Principal</t>
  </si>
  <si>
    <t>1.3.01.01.002</t>
  </si>
  <si>
    <t>Quotas e certificados - CMC</t>
  </si>
  <si>
    <t>1.3.01.02</t>
  </si>
  <si>
    <t>AﾇﾕES</t>
  </si>
  <si>
    <t>1.3.01.02.001</t>
  </si>
  <si>
    <t>A鋏es - Principal</t>
  </si>
  <si>
    <t>1.3.01.02.002</t>
  </si>
  <si>
    <t>A鋏es - CMC (Corr.Mon. Compl.)</t>
  </si>
  <si>
    <t>1.3.01.03</t>
  </si>
  <si>
    <t>PROVISAO P/PERDAS DE INVESTIMENTOS</t>
  </si>
  <si>
    <t>1.3.01.03.001</t>
  </si>
  <si>
    <t>PERPART.</t>
  </si>
  <si>
    <t>1.3.02</t>
  </si>
  <si>
    <t>IMOBILIZADO</t>
  </si>
  <si>
    <t>1.3.02.01</t>
  </si>
  <si>
    <t>IMOBILIZADO TﾉCNICO</t>
  </si>
  <si>
    <t>1.3.02.01.002</t>
  </si>
  <si>
    <t>1.3.02.01.003</t>
  </si>
  <si>
    <t>Reservatios, Barragens e Adutoras</t>
  </si>
  <si>
    <t>1.3.02.01.004</t>
  </si>
  <si>
    <t>Edifica鋏es, Obras civis e Benfeitorias</t>
  </si>
  <si>
    <t>1.3.02.01.005</t>
  </si>
  <si>
    <t>Maquinas e Equipamentos</t>
  </si>
  <si>
    <t>1.3.02.01.006</t>
  </si>
  <si>
    <t>Ve兤ulos</t>
  </si>
  <si>
    <t>1.3.02.01.007</t>
  </si>
  <si>
    <t>Meis e Utensilios</t>
  </si>
  <si>
    <t>1.3.02.01.008</t>
  </si>
  <si>
    <t>Computadores e Perifericos</t>
  </si>
  <si>
    <t>1.3.02.01.009</t>
  </si>
  <si>
    <t>Instala輟es</t>
  </si>
  <si>
    <t>1.3.02.01.010</t>
  </si>
  <si>
    <t>CAIS 4 UNIAO</t>
  </si>
  <si>
    <t>1.3.02.01.011</t>
  </si>
  <si>
    <t>CAIS 4 ESTADO</t>
  </si>
  <si>
    <t>1.3.02.01.020</t>
  </si>
  <si>
    <t>Eletrovia</t>
  </si>
  <si>
    <t>1.3.02.01.021</t>
  </si>
  <si>
    <t>Terminal Retroportu疵io</t>
  </si>
  <si>
    <t>1.3.02.01.022</t>
  </si>
  <si>
    <t>Obras de Refor輟 PGL-1</t>
  </si>
  <si>
    <t>1.3.02.01.023</t>
  </si>
  <si>
    <t>Obra de Duplica鈬o Dist.Rod.Sul</t>
  </si>
  <si>
    <t>1.3.02.01.024</t>
  </si>
  <si>
    <t>Dragagem Acesso ao Estaleiro Atlantico</t>
  </si>
  <si>
    <t>1.3.02.01.025</t>
  </si>
  <si>
    <t>Cais V</t>
  </si>
  <si>
    <t>1.3.02.01.026</t>
  </si>
  <si>
    <t>Dragagem do Pier Petroleiro</t>
  </si>
  <si>
    <t>1.3.02.01.028</t>
  </si>
  <si>
    <t>Infra-Estrutura Acessos a Indlis.</t>
  </si>
  <si>
    <t>1.3.02.01.029</t>
  </si>
  <si>
    <t>Const.Corpo de Bombeiro</t>
  </si>
  <si>
    <t>1.3.02.01.030</t>
  </si>
  <si>
    <t>Acesso e Drenagem ZIP3</t>
  </si>
  <si>
    <t>1.3.02.01.032</t>
  </si>
  <si>
    <t>Amplia鈬o do Centro Adm</t>
  </si>
  <si>
    <t>1.3.02.01.033</t>
  </si>
  <si>
    <t>Duplica鈬o TDR (Tronco Dist. Rod.) NORT</t>
  </si>
  <si>
    <t>1.3.02.01.034</t>
  </si>
  <si>
    <t>Obras de Terraplenagem Diversos Acessos</t>
  </si>
  <si>
    <t>1.3.02.01.038</t>
  </si>
  <si>
    <t>Const. Predio Opera鋏es Portu疵ia</t>
  </si>
  <si>
    <t>1.3.02.01.040</t>
  </si>
  <si>
    <t>Duplica鈬o Av.Portu疵ia</t>
  </si>
  <si>
    <t>1.3.02.01.041</t>
  </si>
  <si>
    <t>Zona de Processamento e Exporta鈬o</t>
  </si>
  <si>
    <t>1.3.02.01.042</t>
  </si>
  <si>
    <t>C M U - Cais de M伃tiplo Uso</t>
  </si>
  <si>
    <t>1.3.02.01.043</t>
  </si>
  <si>
    <t>CTA - Centro de T.Ambiental</t>
  </si>
  <si>
    <t>1.3.02.01.044</t>
  </si>
  <si>
    <t>Reflorestamento</t>
  </si>
  <si>
    <t>1.3.02.01.045</t>
  </si>
  <si>
    <t>Termo de Transa鈬o Usina Salgado</t>
  </si>
  <si>
    <t>1.3.02.01.048</t>
  </si>
  <si>
    <t>CONTRATO 107/2011</t>
  </si>
  <si>
    <t>1.3.02.01.050</t>
  </si>
  <si>
    <t>CONTRATO 22/2012</t>
  </si>
  <si>
    <t>1.3.02.01.052</t>
  </si>
  <si>
    <t>CONTRATO 71/2012</t>
  </si>
  <si>
    <t>1.3.02.03</t>
  </si>
  <si>
    <t>CORREﾇﾃO MONETARIA COMPLEMENTAR</t>
  </si>
  <si>
    <t>1.3.02.03.002</t>
  </si>
  <si>
    <t>CMC - Terrenos</t>
  </si>
  <si>
    <t>1.3.02.03.003</t>
  </si>
  <si>
    <t>CMC - Reservatios, Barragens e Adutor</t>
  </si>
  <si>
    <t>1.3.02.03.004</t>
  </si>
  <si>
    <t>CMC - Edific., Obras civis e Benfeitori</t>
  </si>
  <si>
    <t>1.3.02.03.005</t>
  </si>
  <si>
    <t>CMC - Maquinas e Equipamentos</t>
  </si>
  <si>
    <t>1.3.02.03.006</t>
  </si>
  <si>
    <t>CMC - Ve兤ulos</t>
  </si>
  <si>
    <t>1.3.02.03.007</t>
  </si>
  <si>
    <t>CMC - Meis e Utens匀ios</t>
  </si>
  <si>
    <t>1.3.02.03.008</t>
  </si>
  <si>
    <t>CMC- Computadores e Perifericos</t>
  </si>
  <si>
    <t>1.3.02.04</t>
  </si>
  <si>
    <t>OBRAS EM ANDAMENTO</t>
  </si>
  <si>
    <t>1.3.02.04.001</t>
  </si>
  <si>
    <t>Obras em andamentos</t>
  </si>
  <si>
    <t>1.3.02.04.002</t>
  </si>
  <si>
    <t>CMC-(Coor.Mon.Compl) Obras em andamento</t>
  </si>
  <si>
    <t>1.3.02.04.004</t>
  </si>
  <si>
    <t>Terminal de Minerios</t>
  </si>
  <si>
    <t>1.3.02.04.005</t>
  </si>
  <si>
    <t>Acesso Z13</t>
  </si>
  <si>
    <t>1.3.02.04.006</t>
  </si>
  <si>
    <t>Acesso Nova Tatuoca</t>
  </si>
  <si>
    <t>1.3.02.04.007</t>
  </si>
  <si>
    <t>Acesso Viario</t>
  </si>
  <si>
    <t>1.3.02.04.008</t>
  </si>
  <si>
    <t>Duplica軋o TDR (Tronco Dist. Rod.) Sul</t>
  </si>
  <si>
    <t>1.3.02.04.009</t>
  </si>
  <si>
    <t>Dragagem Bacia Manobras</t>
  </si>
  <si>
    <t>1.3.02.04.010</t>
  </si>
  <si>
    <t>CAIS V</t>
  </si>
  <si>
    <t>1.3.02.04.011</t>
  </si>
  <si>
    <t>CAIS IV</t>
  </si>
  <si>
    <t>1.3.02.04.013</t>
  </si>
  <si>
    <t>Parque Eolico</t>
  </si>
  <si>
    <t>1.3.02.04.014</t>
  </si>
  <si>
    <t>Acesso Lote Suata Log</t>
  </si>
  <si>
    <t>1.3.02.04.018</t>
  </si>
  <si>
    <t>Obras de Infra-estrura</t>
  </si>
  <si>
    <t>1.3.02.04.019</t>
  </si>
  <si>
    <t>Adiantamento Estaleiro</t>
  </si>
  <si>
    <t>1.3.02.05</t>
  </si>
  <si>
    <t>(-) DEPRECIAﾇﾃO ACUMUL-IMOBILIZADO TﾉCN</t>
  </si>
  <si>
    <t>1.3.02.05.003</t>
  </si>
  <si>
    <t>(-)  Reserv, Barrag Adut</t>
  </si>
  <si>
    <t>1.3.02.05.004</t>
  </si>
  <si>
    <t>(-) Edificacoes, Obras, Benf.</t>
  </si>
  <si>
    <t>1.3.02.05.005</t>
  </si>
  <si>
    <t>(-) Maquinas e equipamentos.</t>
  </si>
  <si>
    <t>1.3.02.05.006</t>
  </si>
  <si>
    <t>(-)  Veiculos</t>
  </si>
  <si>
    <t>1.3.02.05.007</t>
  </si>
  <si>
    <t>(-) Meis e utensilios</t>
  </si>
  <si>
    <t>1.3.02.05.008</t>
  </si>
  <si>
    <t>(-) Computadores e periferico</t>
  </si>
  <si>
    <t>1.3.02.05.009</t>
  </si>
  <si>
    <t>(-) Instala輟es</t>
  </si>
  <si>
    <t>1.3.02.05.045</t>
  </si>
  <si>
    <t>(-) Contrato 106/2011</t>
  </si>
  <si>
    <t>1.3.02.05.046</t>
  </si>
  <si>
    <t>(-) Contrato 117/2011</t>
  </si>
  <si>
    <t>1.3.02.06</t>
  </si>
  <si>
    <t>1.3.02.06.003</t>
  </si>
  <si>
    <t>(-) Deprec acum-CMC-Reserv,Barrag Adut</t>
  </si>
  <si>
    <t>1.3.02.06.004</t>
  </si>
  <si>
    <t>(-) Deprec acum-CMC-Edif, Obras Benfeit</t>
  </si>
  <si>
    <t>1.3.02.06.005</t>
  </si>
  <si>
    <t>(-) Deprec acum-CMC-Maquina, Equipament</t>
  </si>
  <si>
    <t>1.3.02.06.006</t>
  </si>
  <si>
    <t>(-) Deprec acum-CMC Ve兤ulos</t>
  </si>
  <si>
    <t>1.3.02.06.007</t>
  </si>
  <si>
    <t>(-) Deprec acum-CMC-Moveis e utensilios</t>
  </si>
  <si>
    <t>1.3.02.06.008</t>
  </si>
  <si>
    <t>(-) Deprec. acum-CMC- Computadores e p</t>
  </si>
  <si>
    <t>1.3.04</t>
  </si>
  <si>
    <t>INTANGﾍVEL</t>
  </si>
  <si>
    <t>1.3.04.01</t>
  </si>
  <si>
    <t>Estudos e Projetos</t>
  </si>
  <si>
    <t>1.3.04.01.001</t>
  </si>
  <si>
    <t>Projeto de Amplia鈬o e Mordeniza鈬o-FAD</t>
  </si>
  <si>
    <t>1.3.04.01.002</t>
  </si>
  <si>
    <t>Estudos e Aval.Passivos Socioeconomicos</t>
  </si>
  <si>
    <t>1.3.04.01.003</t>
  </si>
  <si>
    <t>Estudo Faun﨎tico do Cluster Naval</t>
  </si>
  <si>
    <t>1.3.04.01.004</t>
  </si>
  <si>
    <t>Projeto p/Privsatiza鈬o do PCON</t>
  </si>
  <si>
    <t>1.3.04.01.005</t>
  </si>
  <si>
    <t>Projeto B疽ico Ambiental</t>
  </si>
  <si>
    <t>1.3.04.01.006</t>
  </si>
  <si>
    <t>Comiss縊</t>
  </si>
  <si>
    <t>1.3.04.01.007</t>
  </si>
  <si>
    <t>Reformula鈬o da Politica Portuaria</t>
  </si>
  <si>
    <t>1.3.04.01.008</t>
  </si>
  <si>
    <t>Pesquisas</t>
  </si>
  <si>
    <t>1.3.04.01.009</t>
  </si>
  <si>
    <t>Banco de Dados</t>
  </si>
  <si>
    <t>1.3.04.01.010</t>
  </si>
  <si>
    <t>Estudos Geotecnicos</t>
  </si>
  <si>
    <t>1.3.04.01.011</t>
  </si>
  <si>
    <t>Projeto Cais 6 e 7</t>
  </si>
  <si>
    <t>1.3.04.01.012</t>
  </si>
  <si>
    <t>Projeto Rio Ipojuca</t>
  </si>
  <si>
    <t>1.3.04.01.013</t>
  </si>
  <si>
    <t>Projetos Executivos</t>
  </si>
  <si>
    <t>1.3.04.01.014</t>
  </si>
  <si>
    <t>Plano Diretor</t>
  </si>
  <si>
    <t>1.3.04.01.015</t>
  </si>
  <si>
    <t>Plano de Emergencia Suape</t>
  </si>
  <si>
    <t>1.3.04.01.016</t>
  </si>
  <si>
    <t>Aforamento de Areas - SPU - Honorarios</t>
  </si>
  <si>
    <t>1.3.04.01.017</t>
  </si>
  <si>
    <t>Projeto Social</t>
  </si>
  <si>
    <t>1.3.04.01.018</t>
  </si>
  <si>
    <t>Licen軋 de Uso</t>
  </si>
  <si>
    <t>1.3.04.01.020</t>
  </si>
  <si>
    <t>Estudos</t>
  </si>
  <si>
    <t>1.3.04.02</t>
  </si>
  <si>
    <t>(-) AMORTIZAﾇﾃO ACUMULADA</t>
  </si>
  <si>
    <t>1.3.04.02.004</t>
  </si>
  <si>
    <t>(-) Projeto p/Privatiza鈬o do PCON</t>
  </si>
  <si>
    <t>1.3.04.02.005</t>
  </si>
  <si>
    <t>(-) Projeto Basico Ambiental</t>
  </si>
  <si>
    <t>1.3.04.02.006</t>
  </si>
  <si>
    <t>(-) Comiss縊</t>
  </si>
  <si>
    <t>1.3.04.02.007</t>
  </si>
  <si>
    <t>(-) Reformula鈬o da Politica Portuaria</t>
  </si>
  <si>
    <t>1.3.04.02.008</t>
  </si>
  <si>
    <t>(-) Pesquisas</t>
  </si>
  <si>
    <t>1.3.04.02.009</t>
  </si>
  <si>
    <t>(-) Bancos de Dados</t>
  </si>
  <si>
    <t>1.3.04.02.010</t>
  </si>
  <si>
    <t>(-) Estudos Geotecnicos</t>
  </si>
  <si>
    <t>1.3.04.02.014</t>
  </si>
  <si>
    <t>(-) Plano Diretor</t>
  </si>
  <si>
    <t>1.3.04.03</t>
  </si>
  <si>
    <t>1.3.04.03.001</t>
  </si>
  <si>
    <t>CMC- Intang咩el</t>
  </si>
  <si>
    <t>PASSIVO</t>
  </si>
  <si>
    <t>2.1</t>
  </si>
  <si>
    <t>PASSIVO CIRCULANTE</t>
  </si>
  <si>
    <t>2.1.01</t>
  </si>
  <si>
    <t>OBRIGAﾇﾕES VENCIVEIS ATﾉ 01 ANO</t>
  </si>
  <si>
    <t>2.1.01.01</t>
  </si>
  <si>
    <t>FORNECEDORES</t>
  </si>
  <si>
    <t>2.1.01.01.001</t>
  </si>
  <si>
    <t>Fornecedores de Materiais</t>
  </si>
  <si>
    <t>2.1.01.01.003</t>
  </si>
  <si>
    <t>Fornecedores de servi輟s - P. Fisica</t>
  </si>
  <si>
    <t>2.1.01.01.004</t>
  </si>
  <si>
    <t>Fornecedores de servi輟s - P.Juridica</t>
  </si>
  <si>
    <t>2.1.01.01.005</t>
  </si>
  <si>
    <t>Empreiteiras (Reten鈬o de Cau鋏es)</t>
  </si>
  <si>
    <t>2.1.01.02</t>
  </si>
  <si>
    <t>OBRIGAﾇﾕES SOCIAIS</t>
  </si>
  <si>
    <t>2.1.01.02.001</t>
  </si>
  <si>
    <t>Sal疵ios e ordenados a pagar</t>
  </si>
  <si>
    <t>2.1.01.02.003</t>
  </si>
  <si>
    <t>13ｺ Salarios a pagar</t>
  </si>
  <si>
    <t>2.1.01.02.004</t>
  </si>
  <si>
    <t>Ind. Trabalhista</t>
  </si>
  <si>
    <t>2.1.01.02.005</t>
  </si>
  <si>
    <t>Pens縊 alimenticia</t>
  </si>
  <si>
    <t>2.1.01.02.007</t>
  </si>
  <si>
    <t>Associa鈬o de classe</t>
  </si>
  <si>
    <t>2.1.01.03</t>
  </si>
  <si>
    <t>ENCARGOS SOCIAIS</t>
  </si>
  <si>
    <t>2.1.01.03.001</t>
  </si>
  <si>
    <t>I.N.S.S.</t>
  </si>
  <si>
    <t>2.1.01.03.002</t>
  </si>
  <si>
    <t>F.G.T.S</t>
  </si>
  <si>
    <t>2.1.01.04</t>
  </si>
  <si>
    <t>OBRIGAﾇﾕES FISCAIS</t>
  </si>
  <si>
    <t>2.1.01.04.001</t>
  </si>
  <si>
    <t>I.R.R.F Pessoa juridica</t>
  </si>
  <si>
    <t>2.1.01.04.002</t>
  </si>
  <si>
    <t>I.R.R.F Pessoa f﨎ica</t>
  </si>
  <si>
    <t>2.1.01.04.003</t>
  </si>
  <si>
    <t>I.R.R.F. Assalariado</t>
  </si>
  <si>
    <t>2.1.01.04.006</t>
  </si>
  <si>
    <t>PIS / PASEP</t>
  </si>
  <si>
    <t>2.1.01.04.007</t>
  </si>
  <si>
    <t>COFINS</t>
  </si>
  <si>
    <t>2.1.01.04.008</t>
  </si>
  <si>
    <t>I.S.S. Prrio</t>
  </si>
  <si>
    <t>2.1.01.04.009</t>
  </si>
  <si>
    <t>I.S.S. Retido fonte</t>
  </si>
  <si>
    <t>2.1.01.04.011</t>
  </si>
  <si>
    <t>IRPJ A RECOLHER</t>
  </si>
  <si>
    <t>2.1.01.04.012</t>
  </si>
  <si>
    <t>CSLL A RECOLHER</t>
  </si>
  <si>
    <t>2.1.01.04.013</t>
  </si>
  <si>
    <t>I C M S</t>
  </si>
  <si>
    <t>2.1.01.04.019</t>
  </si>
  <si>
    <t>CSRF (CONTR. SOCIAIS  RETIDAS NA FONTE)</t>
  </si>
  <si>
    <t>2.1.01.05</t>
  </si>
  <si>
    <t>EMPRﾉSTIMOS E FINANCIAMENTOS</t>
  </si>
  <si>
    <t>2.1.01.05.001</t>
  </si>
  <si>
    <t>Caixa Economica Federal c/c. 251-0</t>
  </si>
  <si>
    <t>2.1.01.06</t>
  </si>
  <si>
    <t>PROVISﾕES</t>
  </si>
  <si>
    <t>2.1.01.06.001</t>
  </si>
  <si>
    <t>Proviss para f駻ias</t>
  </si>
  <si>
    <t>2.1.01.06.002</t>
  </si>
  <si>
    <t>Proviss I.N.S.S s/f駻ias</t>
  </si>
  <si>
    <t>2.1.01.06.003</t>
  </si>
  <si>
    <t>Provis縊 F.G.T.S. s/f駻ias</t>
  </si>
  <si>
    <t>2.1.01.06.004</t>
  </si>
  <si>
    <t>Proviss para 13ｺ sal疵io</t>
  </si>
  <si>
    <t>2.1.01.06.005</t>
  </si>
  <si>
    <t>Proviss I.N.S.S s/13ｺ sal疵io</t>
  </si>
  <si>
    <t>2.1.01.06.006</t>
  </si>
  <si>
    <t>Proviss F.G.T.S. s/13ｺ sal疵io</t>
  </si>
  <si>
    <t>2.1.01.07</t>
  </si>
  <si>
    <t>PARCELAMENTOS</t>
  </si>
  <si>
    <t>2.1.01.07.002</t>
  </si>
  <si>
    <t>I T R</t>
  </si>
  <si>
    <t>2.1.01.07.003</t>
  </si>
  <si>
    <t>HONORARIOS</t>
  </si>
  <si>
    <t>2.1.01.09</t>
  </si>
  <si>
    <t>CAUﾇﾕES</t>
  </si>
  <si>
    <t>2.1.01.09.001</t>
  </si>
  <si>
    <t>Diversos caucionantes</t>
  </si>
  <si>
    <t>2.1.01.11</t>
  </si>
  <si>
    <t>ADIANTAMENTO DE CLIENTES</t>
  </si>
  <si>
    <t>2.1.01.11.001</t>
  </si>
  <si>
    <t>Clientes</t>
  </si>
  <si>
    <t>2.1.01.11.002</t>
  </si>
  <si>
    <t>Depositos N穉 Identificados</t>
  </si>
  <si>
    <t>2.1.01.12</t>
  </si>
  <si>
    <t>OUTROS CREDORES</t>
  </si>
  <si>
    <t>2.1.01.12.001</t>
  </si>
  <si>
    <t>Pessoal Cedido</t>
  </si>
  <si>
    <t>2.1.01.12.004</t>
  </si>
  <si>
    <t>Refinaria Abreu e Lima -Conv.850000002.</t>
  </si>
  <si>
    <t>2.1.01.12.007</t>
  </si>
  <si>
    <t>2.1.01.20</t>
  </si>
  <si>
    <t>OUTRAS OBRIGAﾇﾕES</t>
  </si>
  <si>
    <t>2.1.01.20.001</t>
  </si>
  <si>
    <t>Adicional tarifa portu疵ia</t>
  </si>
  <si>
    <t>2.1.01.20.002</t>
  </si>
  <si>
    <t>Abonos e Rendimentos PIS/PASEP</t>
  </si>
  <si>
    <t>2.1.01.20.004</t>
  </si>
  <si>
    <t>Mauricio da Silva Dutra</t>
  </si>
  <si>
    <t>2.1.01.20.007</t>
  </si>
  <si>
    <t>Senai S.A</t>
  </si>
  <si>
    <t>2.1.01.20.008</t>
  </si>
  <si>
    <t>Bco Santander sa</t>
  </si>
  <si>
    <t>2.1.01.21</t>
  </si>
  <si>
    <t>OBRIGAﾇOES C/ACIONISTA</t>
  </si>
  <si>
    <t>2.1.01.21.001</t>
  </si>
  <si>
    <t>Juros Capital Proprio</t>
  </si>
  <si>
    <t>2.2</t>
  </si>
  <si>
    <t>PASSIVO NﾃO CIRCULANTE</t>
  </si>
  <si>
    <t>2.2.01</t>
  </si>
  <si>
    <t>OBRIGAﾇﾕES VENCﾍVEIS APﾓS 01 ANO</t>
  </si>
  <si>
    <t>2.2.01.07</t>
  </si>
  <si>
    <t>2.2.01.07.002</t>
  </si>
  <si>
    <t>2.2.01.07.003</t>
  </si>
  <si>
    <t>2.2.01.09</t>
  </si>
  <si>
    <t>Titulos a Pagar</t>
  </si>
  <si>
    <t>2.2.01.09.003</t>
  </si>
  <si>
    <t>Petroleo Brasileiro - Adiant.Tarifa</t>
  </si>
  <si>
    <t>2.2.01.10</t>
  </si>
  <si>
    <t>RECURSOS DA UNIAO</t>
  </si>
  <si>
    <t>2.2.01.10.001</t>
  </si>
  <si>
    <t>Convenios</t>
  </si>
  <si>
    <t>2.2.01.20</t>
  </si>
  <si>
    <t>2.2.01.20.002</t>
  </si>
  <si>
    <t>Contingencias</t>
  </si>
  <si>
    <t>2.2.01.20.003</t>
  </si>
  <si>
    <t>C.P.R.H - Agencia Estatual do Meio</t>
  </si>
  <si>
    <t>2.2.01.21</t>
  </si>
  <si>
    <t>Contratos de Comodato</t>
  </si>
  <si>
    <t>2.2.01.21.002</t>
  </si>
  <si>
    <t>Indaia ﾀgua Mineral Ltda</t>
  </si>
  <si>
    <t>2.2.01.22</t>
  </si>
  <si>
    <t>RECEITAS DIFERIDAS</t>
  </si>
  <si>
    <t>2.2.01.22.001</t>
  </si>
  <si>
    <t>Petrobras Petroleo Brasileiro</t>
  </si>
  <si>
    <t>2.4</t>
  </si>
  <si>
    <t>PATRIMﾔNIO LﾍQUIDO</t>
  </si>
  <si>
    <t>2.4.01</t>
  </si>
  <si>
    <t>CAPITAL SOCIAL</t>
  </si>
  <si>
    <t>2.4.01.01</t>
  </si>
  <si>
    <t>CAPITAL SUBSCRITO</t>
  </si>
  <si>
    <t>2.4.01.01.001</t>
  </si>
  <si>
    <t>Capital subscrito</t>
  </si>
  <si>
    <t>2.4.02</t>
  </si>
  <si>
    <t>RESERVAS DE CAPITAL</t>
  </si>
  <si>
    <t>2.4.02.01</t>
  </si>
  <si>
    <t>DOAﾇﾕES</t>
  </si>
  <si>
    <t>2.4.02.01.001</t>
  </si>
  <si>
    <t>Doa鋏es - Principal</t>
  </si>
  <si>
    <t>2.4.02.01.002</t>
  </si>
  <si>
    <t>Doa鋏es - CMC (Corr. Mon. Complementar)</t>
  </si>
  <si>
    <t>2.4.02.01.003</t>
  </si>
  <si>
    <t>Doa鋏es - Termope</t>
  </si>
  <si>
    <t>2.4.02.01.004</t>
  </si>
  <si>
    <t>Doa鋏es - Banco Real</t>
  </si>
  <si>
    <t>2.4.02.09</t>
  </si>
  <si>
    <t>OUTRAS RESERVAS</t>
  </si>
  <si>
    <t>2.4.02.09.001</t>
  </si>
  <si>
    <t>Outras reservas de capital - Principal</t>
  </si>
  <si>
    <t>2.4.02.09.002</t>
  </si>
  <si>
    <t>Outras reservas de capital - CMC</t>
  </si>
  <si>
    <t>2.4.05</t>
  </si>
  <si>
    <t>RECURSOS DESTINADOS A AUMENTO DE CAPITA</t>
  </si>
  <si>
    <t>2.4.05.01</t>
  </si>
  <si>
    <t>ADIANTAMENTOS</t>
  </si>
  <si>
    <t>2.4.05.01.003</t>
  </si>
  <si>
    <t>FURPE</t>
  </si>
  <si>
    <t>2.4.05.02</t>
  </si>
  <si>
    <t>PROVISAO P/AUMENTO DE CAPITAL</t>
  </si>
  <si>
    <t>2.4.05.02.001</t>
  </si>
  <si>
    <t>GOVERNO DO ESTADO DE PE</t>
  </si>
  <si>
    <t>2.4.08</t>
  </si>
  <si>
    <t>LUCROS OU PREJUﾍZOS ACUMULADOS</t>
  </si>
  <si>
    <t>2.4.08.01</t>
  </si>
  <si>
    <t>LUCROS OU PREJUIZOS ACUMULADOS</t>
  </si>
  <si>
    <t>2.4.08.01.001</t>
  </si>
  <si>
    <t>Prejuizo acumulados at・1995 -Princiapa</t>
  </si>
  <si>
    <t>2.4.08.01.002</t>
  </si>
  <si>
    <t>Prejuizo acumulado at・1995 - CMC</t>
  </si>
  <si>
    <t>2.4.08.01.003</t>
  </si>
  <si>
    <t>Prejuizo acumulado at・1995 -CMC-IPC-90</t>
  </si>
  <si>
    <t>2.4.08.01.004</t>
  </si>
  <si>
    <t>Lucro do exerc兤io 1996</t>
  </si>
  <si>
    <t>2.4.08.01.005</t>
  </si>
  <si>
    <t>Prejuizo do exercicio 1997</t>
  </si>
  <si>
    <t>2.4.08.01.006</t>
  </si>
  <si>
    <t>Lucro do exercicio 1998</t>
  </si>
  <si>
    <t>2.4.08.01.007</t>
  </si>
  <si>
    <t>Lucro do exercicio 1999</t>
  </si>
  <si>
    <t>2.4.08.01.008</t>
  </si>
  <si>
    <t>Lucro do exercicio 2000</t>
  </si>
  <si>
    <t>2.4.08.01.009</t>
  </si>
  <si>
    <t>Lucro do exercicio 2001</t>
  </si>
  <si>
    <t>2.4.08.01.010</t>
  </si>
  <si>
    <t>Prejuizos Exercicios Anteriores</t>
  </si>
  <si>
    <t>2.4.08.01.011</t>
  </si>
  <si>
    <t>Resultado Exercico 2002</t>
  </si>
  <si>
    <t>2.4.08.01.012</t>
  </si>
  <si>
    <t>Resultado Exerc兤io 2003</t>
  </si>
  <si>
    <t>2.4.08.01.013</t>
  </si>
  <si>
    <t>Resultado Exercicio 2004</t>
  </si>
  <si>
    <t>2.4.08.01.014</t>
  </si>
  <si>
    <t>Resultado Exercicio 2005</t>
  </si>
  <si>
    <t>2.4.08.01.015</t>
  </si>
  <si>
    <t>Resultado Exercicio 2006</t>
  </si>
  <si>
    <t>2.4.08.01.016</t>
  </si>
  <si>
    <t>Resultado Exercicio 2007</t>
  </si>
  <si>
    <t>2.4.08.01.017</t>
  </si>
  <si>
    <t>Resultado Exercicio/ 2008</t>
  </si>
  <si>
    <t>2.4.08.01.018</t>
  </si>
  <si>
    <t>Resultado Exercicio/2009</t>
  </si>
  <si>
    <t>2.4.08.01.019</t>
  </si>
  <si>
    <t>Resultado Exercicio-2010</t>
  </si>
  <si>
    <t>2.4.08.01.020</t>
  </si>
  <si>
    <t>Resultado Exercicio-2011</t>
  </si>
  <si>
    <t>2.4.08.01.021</t>
  </si>
  <si>
    <t>Prejuizo Acumulado Exerc.2012</t>
  </si>
  <si>
    <t>RESULTADO DO EXERCICIO APOS C.L.S E IRP</t>
  </si>
  <si>
    <t>3.1</t>
  </si>
  <si>
    <t>RESULTADO OPERACIONAL</t>
  </si>
  <si>
    <t>3.1.01</t>
  </si>
  <si>
    <t>RECEITA OPERACIONAL LIQUIDA</t>
  </si>
  <si>
    <t>3.1.01.01</t>
  </si>
  <si>
    <t>RECEITA OPERACIONAL</t>
  </si>
  <si>
    <t>3.1.01.01.001</t>
  </si>
  <si>
    <t>Movimenta鈬o Gerais Liquido</t>
  </si>
  <si>
    <t>3.1.01.01.002</t>
  </si>
  <si>
    <t>Movimenta鈬o Cargas Geral</t>
  </si>
  <si>
    <t>3.1.01.01.003</t>
  </si>
  <si>
    <t>Servi輟 - Porto interno</t>
  </si>
  <si>
    <t>3.1.01.01.004</t>
  </si>
  <si>
    <t>Contratos Arredamento</t>
  </si>
  <si>
    <t>3.1.01.01.010</t>
  </si>
  <si>
    <t>Outras</t>
  </si>
  <si>
    <t>3.1.01.02</t>
  </si>
  <si>
    <t>(-) DEDUﾇﾕES DA RECEITA</t>
  </si>
  <si>
    <t>3.1.01.02.001</t>
  </si>
  <si>
    <t>PIS - Faturamento</t>
  </si>
  <si>
    <t>3.1.01.02.002</t>
  </si>
  <si>
    <t>3.1.01.02.003</t>
  </si>
  <si>
    <t>I.S.S.</t>
  </si>
  <si>
    <t>3.1.01.02.004</t>
  </si>
  <si>
    <t>Notas Fiscais Canceladas</t>
  </si>
  <si>
    <t>3.1.01.02.005</t>
  </si>
  <si>
    <t>ICMS</t>
  </si>
  <si>
    <t>3.1.03</t>
  </si>
  <si>
    <t>GASTO OPERACIONAL</t>
  </si>
  <si>
    <t>3.1.03.01</t>
  </si>
  <si>
    <t>GASTOS COM PESSOAL-ADMINISTRADORES</t>
  </si>
  <si>
    <t>3.1.03.01.002</t>
  </si>
  <si>
    <t>Sal疵ios</t>
  </si>
  <si>
    <t>3.1.03.01.007</t>
  </si>
  <si>
    <t>Gratifica鋏es</t>
  </si>
  <si>
    <t>3.1.03.02</t>
  </si>
  <si>
    <t>GASTOS COM PESSOAL - OPERACIONAL</t>
  </si>
  <si>
    <t>3.1.03.02.001</t>
  </si>
  <si>
    <t>Sal疵ios e ordenados</t>
  </si>
  <si>
    <t>3.1.03.02.002</t>
  </si>
  <si>
    <t>ABONO</t>
  </si>
  <si>
    <t>3.1.03.02.003</t>
  </si>
  <si>
    <t>F駻ias</t>
  </si>
  <si>
    <t>3.1.03.02.004</t>
  </si>
  <si>
    <t>13ｺ Sal疵ios</t>
  </si>
  <si>
    <t>3.1.03.02.005</t>
  </si>
  <si>
    <t>3.1.03.02.006</t>
  </si>
  <si>
    <t>Indeniza輟es trabalhistas</t>
  </si>
  <si>
    <t>3.1.03.02.007</t>
  </si>
  <si>
    <t>3.1.03.02.008</t>
  </si>
  <si>
    <t>F.G.T.S.</t>
  </si>
  <si>
    <t>3.1.03.02.009</t>
  </si>
  <si>
    <t>Ajuda de custo</t>
  </si>
  <si>
    <t>3.1.03.02.010</t>
  </si>
  <si>
    <t>Assist麩cia m馘ica</t>
  </si>
  <si>
    <t>3.1.03.02.011</t>
  </si>
  <si>
    <t>Vale-transporte</t>
  </si>
  <si>
    <t>3.1.03.02.012</t>
  </si>
  <si>
    <t>Programa de Alimentacao ao Trabalhador</t>
  </si>
  <si>
    <t>3.1.03.02.014</t>
  </si>
  <si>
    <t>Recupera鈬o de despesas</t>
  </si>
  <si>
    <t>3.1.03.02.019</t>
  </si>
  <si>
    <t>Hora Extra 100%</t>
  </si>
  <si>
    <t>3.1.03.02.020</t>
  </si>
  <si>
    <t>AD. Noturno</t>
  </si>
  <si>
    <t>3.1.03.02.021</t>
  </si>
  <si>
    <t>ADC. Insalubridade</t>
  </si>
  <si>
    <t>3.1.03.02.022</t>
  </si>
  <si>
    <t>ADC. Periculosidade</t>
  </si>
  <si>
    <t>3.1.03.02.023</t>
  </si>
  <si>
    <t>Adc P/Tempo de  Servi輟</t>
  </si>
  <si>
    <t>3.1.03.02.024</t>
  </si>
  <si>
    <t>ADC. Noturno</t>
  </si>
  <si>
    <t>3.1.03.02.025</t>
  </si>
  <si>
    <t>Atgf (Ad. tempo grat. func.) Incorporad</t>
  </si>
  <si>
    <t>3.1.03.02.026</t>
  </si>
  <si>
    <t>Hora Extra Incorporado</t>
  </si>
  <si>
    <t>3.1.03.02.027</t>
  </si>
  <si>
    <t>Venct.Cargo Comissionado</t>
  </si>
  <si>
    <t>3.1.03.02.028</t>
  </si>
  <si>
    <t>ADC.Periculosidade Cargo Comissionado</t>
  </si>
  <si>
    <t>3.1.03.02.029</t>
  </si>
  <si>
    <t>ADC.Risco de Vida</t>
  </si>
  <si>
    <t>3.1.03.02.030</t>
  </si>
  <si>
    <t>H.E.Incorporada Judicial</t>
  </si>
  <si>
    <t>3.1.03.02.032</t>
  </si>
  <si>
    <t>Auxilio Creche</t>
  </si>
  <si>
    <t>3.1.03.02.033</t>
  </si>
  <si>
    <t>Diarias</t>
  </si>
  <si>
    <t>3.1.03.02.034</t>
  </si>
  <si>
    <t>Adicional Inc.A.Qualifica鈬o</t>
  </si>
  <si>
    <t>3.1.03.03</t>
  </si>
  <si>
    <t>GASTOS ADMINISTRATIVOS</t>
  </si>
  <si>
    <t>3.1.03.03.001</t>
  </si>
  <si>
    <t>Aluguel de veiculos</t>
  </si>
  <si>
    <t>3.1.03.03.002</t>
  </si>
  <si>
    <t>Energia el騁rica</t>
  </si>
  <si>
    <t>3.1.03.03.003</t>
  </si>
  <si>
    <t>Telefones</t>
  </si>
  <si>
    <t>3.1.03.03.005</t>
  </si>
  <si>
    <t>Alugu駟s de equipamentos</t>
  </si>
  <si>
    <t>3.1.03.03.006</t>
  </si>
  <si>
    <t>Alugu駟s diversos</t>
  </si>
  <si>
    <t>3.1.03.03.007</t>
  </si>
  <si>
    <t>Material de Consumo</t>
  </si>
  <si>
    <t>3.1.03.03.008</t>
  </si>
  <si>
    <t>G麩eros alimenticios</t>
  </si>
  <si>
    <t>3.1.03.03.009</t>
  </si>
  <si>
    <t>Meterial de expediente</t>
  </si>
  <si>
    <t>3.1.03.03.010</t>
  </si>
  <si>
    <t>Material de higiene e limpeza</t>
  </si>
  <si>
    <t>3.1.03.03.011</t>
  </si>
  <si>
    <t>Material  de reparo e  manuten鈬o</t>
  </si>
  <si>
    <t>3.1.03.03.012</t>
  </si>
  <si>
    <t>Meterial de inform疸ica</t>
  </si>
  <si>
    <t>3.1.03.03.013</t>
  </si>
  <si>
    <t>Combustiveis e lubrificantes</t>
  </si>
  <si>
    <t>3.1.03.03.014</t>
  </si>
  <si>
    <t>Pe軋s e acessorios de ve兤ulos</t>
  </si>
  <si>
    <t>3.1.03.03.015</t>
  </si>
  <si>
    <t>Serv.terceiros - Manut. de Veiculos</t>
  </si>
  <si>
    <t>3.1.03.03.016</t>
  </si>
  <si>
    <t>Serv. terceiros - Pessoa f﨎ica</t>
  </si>
  <si>
    <t>3.1.03.03.017</t>
  </si>
  <si>
    <t>Serv. terceiros - M縊 de obra Contratad</t>
  </si>
  <si>
    <t>3.1.03.03.018</t>
  </si>
  <si>
    <t>Servi輟s terceiros - Consultoria</t>
  </si>
  <si>
    <t>3.1.03.03.019</t>
  </si>
  <si>
    <t>Servi輟s terceiros -Obras, manut.conser</t>
  </si>
  <si>
    <t>3.1.03.03.020</t>
  </si>
  <si>
    <t>Servi輟s terceiros - Outros</t>
  </si>
  <si>
    <t>3.1.03.03.021</t>
  </si>
  <si>
    <t>Deprecia鋏es</t>
  </si>
  <si>
    <t>3.1.03.03.022</t>
  </si>
  <si>
    <t>Bens de pequeno custo</t>
  </si>
  <si>
    <t>3.1.03.03.023</t>
  </si>
  <si>
    <t>Refei鋏es e Lanches</t>
  </si>
  <si>
    <t>3.1.03.03.025</t>
  </si>
  <si>
    <t>Viagens e estadias</t>
  </si>
  <si>
    <t>3.1.03.03.026</t>
  </si>
  <si>
    <t>Propaganda</t>
  </si>
  <si>
    <t>3.1.03.03.027</t>
  </si>
  <si>
    <t>Fretes e carretos</t>
  </si>
  <si>
    <t>3.1.03.03.028</t>
  </si>
  <si>
    <t>Cursos e Treinamentos</t>
  </si>
  <si>
    <t>3.1.03.03.029</t>
  </si>
  <si>
    <t>Correios e tel馮rafos</t>
  </si>
  <si>
    <t>3.1.03.03.030</t>
  </si>
  <si>
    <t>Custa e emolumentos</t>
  </si>
  <si>
    <t>3.1.03.03.031</t>
  </si>
  <si>
    <t>Livros jornais e revistas</t>
  </si>
  <si>
    <t>3.1.03.03.032</t>
  </si>
  <si>
    <t>Seguros</t>
  </si>
  <si>
    <t>3.1.03.03.033</t>
  </si>
  <si>
    <t>Impostos, taxas, e contrib. diversas</t>
  </si>
  <si>
    <t>3.1.03.03.035</t>
  </si>
  <si>
    <t>Taxi</t>
  </si>
  <si>
    <t>3.1.03.03.036</t>
  </si>
  <si>
    <t>EPI - Equipamento de prote鈬o individua</t>
  </si>
  <si>
    <t>3.1.03.03.037</t>
  </si>
  <si>
    <t>Multas Diversas</t>
  </si>
  <si>
    <t>3.1.03.03.038</t>
  </si>
  <si>
    <t>Fardamentos</t>
  </si>
  <si>
    <t>3.1.03.03.039</t>
  </si>
  <si>
    <t>Outras despesas administrativas</t>
  </si>
  <si>
    <t>3.1.03.03.040</t>
  </si>
  <si>
    <t>Estagiarios</t>
  </si>
  <si>
    <t>3.1.03.03.041</t>
  </si>
  <si>
    <t>Recupera鈬o de Despesas</t>
  </si>
  <si>
    <t>3.1.03.03.042</t>
  </si>
  <si>
    <t>Amortiza軋o</t>
  </si>
  <si>
    <t>3.1.03.03.043</t>
  </si>
  <si>
    <t>Anuncios e Publica鋏es</t>
  </si>
  <si>
    <t>3.1.03.03.044</t>
  </si>
  <si>
    <t>Cota Patrocinios</t>
  </si>
  <si>
    <t>3.1.03.03.048</t>
  </si>
  <si>
    <t>Inss Autonomo Recibos/Nfs.</t>
  </si>
  <si>
    <t>3.1.03.03.051</t>
  </si>
  <si>
    <t>Desp.de Exercicios Anteriores</t>
  </si>
  <si>
    <t>3.1.03.03.052</t>
  </si>
  <si>
    <t>Taxa Acordo Coletivo Asfus</t>
  </si>
  <si>
    <t>3.1.03.03.082</t>
  </si>
  <si>
    <t>Brindes e Doa輟es</t>
  </si>
  <si>
    <t>3.1.03.03.099</t>
  </si>
  <si>
    <t>Recupera軋o Pis/Cofins</t>
  </si>
  <si>
    <t>3.1.03.04</t>
  </si>
  <si>
    <t>DESPESAS TRIBUTARIAS</t>
  </si>
  <si>
    <t>3.1.03.04.004</t>
  </si>
  <si>
    <t>TAXA DE OCUPAﾇAO</t>
  </si>
  <si>
    <t>3.1.03.04.005</t>
  </si>
  <si>
    <t>I.O.F.</t>
  </si>
  <si>
    <t>3.1.03.04.007</t>
  </si>
  <si>
    <t>Impostos e taxas</t>
  </si>
  <si>
    <t>3.1.03.04.008</t>
  </si>
  <si>
    <t>PIS</t>
  </si>
  <si>
    <t>3.1.03.04.009</t>
  </si>
  <si>
    <t>3.1.03.07</t>
  </si>
  <si>
    <t>Outras Receitas Operacioais</t>
  </si>
  <si>
    <t>3.1.03.07.002</t>
  </si>
  <si>
    <t>Renda de aliena鈬o de bens</t>
  </si>
  <si>
    <t>3.1.03.07.003</t>
  </si>
  <si>
    <t>Outras receitas operacional</t>
  </si>
  <si>
    <t>3.2</t>
  </si>
  <si>
    <t>RESULTADO FINANCEIRO LﾍQUIDO</t>
  </si>
  <si>
    <t>3.2.01</t>
  </si>
  <si>
    <t>RECEITAS FINANCEIRAS</t>
  </si>
  <si>
    <t>3.2.01.01</t>
  </si>
  <si>
    <t>RECEITAS</t>
  </si>
  <si>
    <t>3.2.01.01.001</t>
  </si>
  <si>
    <t>Rendimento de aplica鈬o financeiras</t>
  </si>
  <si>
    <t>3.2.01.01.002</t>
  </si>
  <si>
    <t>Descontos obtidos</t>
  </si>
  <si>
    <t>3.2.01.01.003</t>
  </si>
  <si>
    <t>Juros ativos</t>
  </si>
  <si>
    <t>3.2.01.01.004</t>
  </si>
  <si>
    <t>Dividendos</t>
  </si>
  <si>
    <t>3.2.01.01.005</t>
  </si>
  <si>
    <t>Outras receitas</t>
  </si>
  <si>
    <t>3.2.02</t>
  </si>
  <si>
    <t>DESPESAS FINANCEIRAS</t>
  </si>
  <si>
    <t>3.2.02.01</t>
  </si>
  <si>
    <t>DESPESAS</t>
  </si>
  <si>
    <t>3.2.02.01.001</t>
  </si>
  <si>
    <t>Despesas bancarias</t>
  </si>
  <si>
    <t>3.2.02.01.002</t>
  </si>
  <si>
    <t>Descontos concedidos</t>
  </si>
  <si>
    <t>3.2.02.01.003</t>
  </si>
  <si>
    <t>Juros passivos</t>
  </si>
  <si>
    <t>CONTAS DO ATIVO</t>
  </si>
  <si>
    <t>4.1</t>
  </si>
  <si>
    <t>COMPENSAﾇﾃO</t>
  </si>
  <si>
    <t>4.1.01</t>
  </si>
  <si>
    <t>DIREITOS E BENS DE TERCEIROS</t>
  </si>
  <si>
    <t>4.1.01.01</t>
  </si>
  <si>
    <t>CONTRAPARTIDA DIREITOS BENS E TERCEIROS</t>
  </si>
  <si>
    <t>4.1.01.01.001</t>
  </si>
  <si>
    <t>CONTAS DO PASSIVO</t>
  </si>
  <si>
    <t>5.1</t>
  </si>
  <si>
    <t>5.1.01</t>
  </si>
  <si>
    <t>5.1.01.01</t>
  </si>
  <si>
    <t>5.1.01.01.001</t>
  </si>
  <si>
    <t>TOTAL DE  DEBI</t>
  </si>
  <si>
    <t>TOS:           2</t>
  </si>
  <si>
    <t>TOTAL DE CREDI</t>
  </si>
  <si>
    <t>2/2014 a 31/12/2</t>
  </si>
  <si>
    <t>14   Pag.:    1</t>
  </si>
  <si>
    <t>iss縊: 26/03/2015</t>
  </si>
  <si>
    <t>Hora: 16:1</t>
  </si>
  <si>
    <t>1.1.01.02.035</t>
  </si>
  <si>
    <t>Caixa E.Federal c/251.0 ag.3515</t>
  </si>
  <si>
    <t>1.1.01.02.044</t>
  </si>
  <si>
    <t>Poupan軋 Caixa c/346-7</t>
  </si>
  <si>
    <t>1.1.01.02.045</t>
  </si>
  <si>
    <t>Caixa E.Fedral-Poupan軋 c/346-7</t>
  </si>
  <si>
    <t>1.1.01.03.025</t>
  </si>
  <si>
    <t>CDB- Santander sa c/13.374-3 Petrobras</t>
  </si>
  <si>
    <t>1.1.01.03.047</t>
  </si>
  <si>
    <t>Bco Brasil Aplic.BBCP-C 600 MIL</t>
  </si>
  <si>
    <t>1.1.01.03.049</t>
  </si>
  <si>
    <t>Santander Aplic.Renda Fixa -c/376-7</t>
  </si>
  <si>
    <t>1.1.02.01.002</t>
  </si>
  <si>
    <t>Baixas de Creditos N縊 liquidos</t>
  </si>
  <si>
    <t>IR-Pago a Maior Exerc.2011</t>
  </si>
  <si>
    <t>1.1.02.05.059</t>
  </si>
  <si>
    <t>IRPJ - Estimativa-2014</t>
  </si>
  <si>
    <t>1.1.02.05.060</t>
  </si>
  <si>
    <t>CSLL-Estimativa-2014</t>
  </si>
  <si>
    <t>1.1.02.05.061</t>
  </si>
  <si>
    <t>Pis N縊 Cumulativo</t>
  </si>
  <si>
    <t>1.1.02.05.062</t>
  </si>
  <si>
    <t>Cofins N縊 Cumulativo</t>
  </si>
  <si>
    <t>1.1.02.06.005</t>
  </si>
  <si>
    <t>Provis縊 P/Devedores Duvidosos</t>
  </si>
  <si>
    <t>IRPJ-Saldo Negativo-2011</t>
  </si>
  <si>
    <t>1.1.03.02.002</t>
  </si>
  <si>
    <t>Diversos</t>
  </si>
  <si>
    <t>Manut.Predio Facilita鈬o ct. 107/2011</t>
  </si>
  <si>
    <t>Estaciomamento ct. 22/2012</t>
  </si>
  <si>
    <t>Levantamento top batrimetrico ct.71/201</t>
  </si>
  <si>
    <t>1.3.02.01.056</t>
  </si>
  <si>
    <t>Duplica鈬o PE-60</t>
  </si>
  <si>
    <t>1.3.02.01.057</t>
  </si>
  <si>
    <t>Terraplenagem ZI3/TDR NORTE/PE 28</t>
  </si>
  <si>
    <t>1.3.02.01.059</t>
  </si>
  <si>
    <t>Acesso Estaleiro Promar</t>
  </si>
  <si>
    <t>1.3.02.01.063</t>
  </si>
  <si>
    <t>Terminais Portuarios</t>
  </si>
  <si>
    <t>1.3.02.07</t>
  </si>
  <si>
    <t>CONVERGENCIA CONTABIL LEI 11638/2007</t>
  </si>
  <si>
    <t>1.3.02.07.001</t>
  </si>
  <si>
    <t>Atualiza鈬o -Terrenos</t>
  </si>
  <si>
    <t>1.3.02.07.002</t>
  </si>
  <si>
    <t>Atualiza鈬o - Edifica鋏es</t>
  </si>
  <si>
    <t>1.3.02.07.010</t>
  </si>
  <si>
    <t>Atualiza鈬o -Eletrovia</t>
  </si>
  <si>
    <t>1.3.02.07.017</t>
  </si>
  <si>
    <t>Atualiza鈬o -Infra Estrutura Acesso</t>
  </si>
  <si>
    <t>1.3.02.07.019</t>
  </si>
  <si>
    <t>Atualiza鈬o -Acesso Drag.Zip</t>
  </si>
  <si>
    <t>1.3.02.07.021</t>
  </si>
  <si>
    <t>Atualiza鈬o -Duplica鈬o TDR</t>
  </si>
  <si>
    <t>1.3.02.07.022</t>
  </si>
  <si>
    <t>Atualiza鈬o -Obras de Terraplenagem</t>
  </si>
  <si>
    <t>1.3.02.07.024</t>
  </si>
  <si>
    <t>Atualiza鈬o -Duplica鈬o Av.Portu疵ia</t>
  </si>
  <si>
    <t>1.3.02.07.028</t>
  </si>
  <si>
    <t>Atualiza鈬o -Manut.Predio Facilita鈬o</t>
  </si>
  <si>
    <t>1.3.02.07.029</t>
  </si>
  <si>
    <t>Atualiza鈬o -Estacionamento</t>
  </si>
  <si>
    <t>1.3.02.07.030</t>
  </si>
  <si>
    <t>Atualiza鈬o -Levantamento Batimetrico</t>
  </si>
  <si>
    <t>1.3.02.07.063</t>
  </si>
  <si>
    <t>Atualiza鈬o - Terminais Portuarios</t>
  </si>
  <si>
    <t>Intag咩elProjeto p/Privsatiza鈬o do PCO</t>
  </si>
  <si>
    <t>1.3.04.01.019</t>
  </si>
  <si>
    <t>2.1.01.20.009</t>
  </si>
  <si>
    <t>Sefaz - Gov.do Estado</t>
  </si>
  <si>
    <t>2.2.01.22.002</t>
  </si>
  <si>
    <t>Subven鋏es Governamentais - CPRH</t>
  </si>
  <si>
    <t>2.4.02.10</t>
  </si>
  <si>
    <t>AJUSTE DE AVALIAﾇﾃO PATRIMONIAL</t>
  </si>
  <si>
    <t>2.4.02.10.001</t>
  </si>
  <si>
    <t>Ajuste Avalia鈬o Patrimonial</t>
  </si>
  <si>
    <t>2.4.08.01.022</t>
  </si>
  <si>
    <t>Prejuizo Acumulados exerc.2013</t>
  </si>
  <si>
    <t>3.1.01.01.011</t>
  </si>
  <si>
    <t>P疸io P炻lico de Veiculos</t>
  </si>
  <si>
    <t>3.1.01.02.006</t>
  </si>
  <si>
    <t>Faturamento indevido</t>
  </si>
  <si>
    <t>3.1.03.02.035</t>
  </si>
  <si>
    <t>DSR - S/HORAS EXTRAS</t>
  </si>
  <si>
    <t>3.1.03.03.054</t>
  </si>
  <si>
    <t>Projetos e Estudos</t>
  </si>
  <si>
    <t>3.1.03.03.080</t>
  </si>
  <si>
    <t>Creditos de liquida鈬o duvidosa</t>
  </si>
  <si>
    <t>3.1.03.03.084</t>
  </si>
  <si>
    <t>Projetos Sociais</t>
  </si>
  <si>
    <t>3.1.03.03.085</t>
  </si>
  <si>
    <t>Perdas em  Opera鋏es de  Creditos</t>
  </si>
  <si>
    <t>3.1.03.03.086</t>
  </si>
  <si>
    <t>Despesas n縊 dedutiveis</t>
  </si>
  <si>
    <t>3.1.03.04.001</t>
  </si>
  <si>
    <t>I.R.P.J.</t>
  </si>
  <si>
    <t>3.1.03.04.002</t>
  </si>
  <si>
    <t>Contribui鈬o Social</t>
  </si>
  <si>
    <t>3.1.03.04.010</t>
  </si>
  <si>
    <t>3.1.03.06</t>
  </si>
  <si>
    <t>Outras Despesas  Operacionais</t>
  </si>
  <si>
    <t>3.1.03.06.002</t>
  </si>
  <si>
    <t>Custos dos bens e direitos</t>
  </si>
  <si>
    <t>3.1.03.06.003</t>
  </si>
  <si>
    <t>Outras Despesas Operacioais</t>
  </si>
  <si>
    <t>TOS:         3.4</t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</si>
  <si>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Terrenos</t>
    </r>
  </si>
  <si>
    <t>Terminais portuários</t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</si>
  <si>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Edificações</t>
    </r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</si>
  <si>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Máquinas e equipamentos</t>
    </r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</si>
  <si>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Veículos</t>
    </r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</si>
  <si>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Móveis e utensílios</t>
    </r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</si>
  <si>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Computadores e periféricos</t>
    </r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</si>
  <si>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Instalações</t>
    </r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</si>
  <si>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Obras em andamento</t>
    </r>
  </si>
  <si>
    <t>R$ mil</t>
  </si>
  <si>
    <t>31.12.2014</t>
  </si>
  <si>
    <t>31.12.2013</t>
  </si>
  <si>
    <t>Custo</t>
  </si>
  <si>
    <t>Amortização</t>
  </si>
  <si>
    <t>Líquido</t>
  </si>
  <si>
    <t>Acumulada</t>
  </si>
  <si>
    <t>Estudos e projetos:</t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</si>
  <si>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Plano diretor</t>
    </r>
  </si>
  <si>
    <t>(</t>
  </si>
  <si>
    <t>)</t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</si>
  <si>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Projeto básico ambiental</t>
    </r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</si>
  <si>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Projeto para privatização do pátio de contêineres</t>
    </r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</si>
  <si>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Banco de dados</t>
    </r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</si>
  <si>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Pesquisas</t>
    </r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</si>
  <si>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Aforamento de áreas – honorários</t>
    </r>
  </si>
  <si>
    <r>
      <t>·</t>
    </r>
    <r>
      <rPr>
        <sz val="7"/>
        <color theme="1"/>
        <rFont val="Calibri"/>
        <family val="2"/>
        <scheme val="minor"/>
      </rPr>
      <t xml:space="preserve">  </t>
    </r>
    <r>
      <rPr>
        <sz val="9"/>
        <color theme="1"/>
        <rFont val="Calibri"/>
        <family val="2"/>
        <scheme val="minor"/>
      </rPr>
      <t>Outros projetos e estudos</t>
    </r>
  </si>
  <si>
    <t>Circulante</t>
  </si>
  <si>
    <t>Não Circulante</t>
  </si>
  <si>
    <t>INSS</t>
  </si>
  <si>
    <t>FGTS</t>
  </si>
  <si>
    <t>Imposto de Renda Retido na Fonte</t>
  </si>
  <si>
    <t>Imposto de Renda da Pessoa Jurídica</t>
  </si>
  <si>
    <t>Contribuição Social sobre o Lucro Líquido</t>
  </si>
  <si>
    <t>ISS Próprio</t>
  </si>
  <si>
    <t>ISS Retido na Fonte</t>
  </si>
  <si>
    <t>ITR e Taxa de Ocupação de Imóveis</t>
  </si>
  <si>
    <t>Outros</t>
  </si>
  <si>
    <t>2/2015 a 31/12/2</t>
  </si>
  <si>
    <t>15   Pag.:    1</t>
  </si>
  <si>
    <t>DVA</t>
  </si>
  <si>
    <t>NOTA EXPLICATIVA</t>
  </si>
  <si>
    <t>iss縊: 17/05/2016</t>
  </si>
  <si>
    <t>Hora: 10:4</t>
  </si>
  <si>
    <t>1.1.01.03.027</t>
  </si>
  <si>
    <t>CDB-Santander sa c.13.367-1-FURPE</t>
  </si>
  <si>
    <t>1.1.01.03.051</t>
  </si>
  <si>
    <t>Caixa E.Federal c/poup.22-0</t>
  </si>
  <si>
    <t>1.1.01.03.052</t>
  </si>
  <si>
    <t>Bco Brasil c/34553-9 POUPANﾇA</t>
  </si>
  <si>
    <t>1.1.01.03.053</t>
  </si>
  <si>
    <t>Caixa E.Federal c/29-8- POUPANﾇA</t>
  </si>
  <si>
    <t>1.1.01.03.056</t>
  </si>
  <si>
    <t>Bco Brasil 17857.8 Poupana軋</t>
  </si>
  <si>
    <t>1.1.01.03.057</t>
  </si>
  <si>
    <t>Bco Brasil c/17857-8 BBCP AUTOMﾁTICO</t>
  </si>
  <si>
    <t>1.1.01.03.058</t>
  </si>
  <si>
    <t>Caixa Fic Liq.Curto Prazo</t>
  </si>
  <si>
    <t>I.R.R.F a recuperar BB</t>
  </si>
  <si>
    <t>1.1.02.05.063</t>
  </si>
  <si>
    <t>IRPJ-Estimativa- 2015</t>
  </si>
  <si>
    <t>1.1.02.05.064</t>
  </si>
  <si>
    <t>CSLL -Estimativa- 2015</t>
  </si>
  <si>
    <t>1.1.02.05.065</t>
  </si>
  <si>
    <t>I N S S</t>
  </si>
  <si>
    <t>1.1.02.05.066</t>
  </si>
  <si>
    <t>IR- A Recuperar - Caixa</t>
  </si>
  <si>
    <t>1.1.02.05.067</t>
  </si>
  <si>
    <t>IR- A Recuperar - Santander</t>
  </si>
  <si>
    <t>1.1.02.07.029</t>
  </si>
  <si>
    <t>IRPJ - Saldo Negativo 2013</t>
  </si>
  <si>
    <t>1.1.02.07.032</t>
  </si>
  <si>
    <t>CSLL - Saldo Neg.2014</t>
  </si>
  <si>
    <t>1.3.00.01</t>
  </si>
  <si>
    <t>1.3.00.01.001</t>
  </si>
  <si>
    <t>1.3.00.02</t>
  </si>
  <si>
    <t>DEPOSITOS JUDICIAIS</t>
  </si>
  <si>
    <t>1.3.00.02.001</t>
  </si>
  <si>
    <t>DEPOSITOS LEGAIS</t>
  </si>
  <si>
    <t>Edifica鋏es Obras base zero</t>
  </si>
  <si>
    <t>Atualiza鈬o -Terrenos                  1</t>
  </si>
  <si>
    <t>.621.072.052,59</t>
  </si>
  <si>
    <t>1.3.02.08</t>
  </si>
  <si>
    <t>(-) DEPRECIAﾇﾃO - CONVERGENCIA CONTﾁBIL</t>
  </si>
  <si>
    <t>1.3.02.08.002</t>
  </si>
  <si>
    <t>(-) Edifica鋏es</t>
  </si>
  <si>
    <t>1.3.02.08.003</t>
  </si>
  <si>
    <t>(-) Eletrovia</t>
  </si>
  <si>
    <t>1.3.02.08.004</t>
  </si>
  <si>
    <t>(-) Infra Estrutura Ac</t>
  </si>
  <si>
    <t>1.3.02.08.005</t>
  </si>
  <si>
    <t>(-) Acesso Drag. Zip.</t>
  </si>
  <si>
    <t>1.3.02.08.006</t>
  </si>
  <si>
    <t>(-) Duplica鈬o TDR</t>
  </si>
  <si>
    <t>1.3.02.08.007</t>
  </si>
  <si>
    <t>(-) Obras de Terraplenagem</t>
  </si>
  <si>
    <t>1.3.02.08.008</t>
  </si>
  <si>
    <t>(-) Duplica鈬o Av. Portu疵ia</t>
  </si>
  <si>
    <t>1.3.02.08.012</t>
  </si>
  <si>
    <t>(-) Terminais Portu疵ios</t>
  </si>
  <si>
    <t>1.3.04.02.016</t>
  </si>
  <si>
    <t>(_) Aforamento SPU</t>
  </si>
  <si>
    <t>2.1.01.04.020</t>
  </si>
  <si>
    <t>IRPJ ESTIMATIVA A RECOLHER</t>
  </si>
  <si>
    <t>2.1.01.04.021</t>
  </si>
  <si>
    <t>CSLL ESTIMATIVA  A RECOLHER</t>
  </si>
  <si>
    <t>2.1.01.06.009</t>
  </si>
  <si>
    <t>Provis縊 para IRPJ</t>
  </si>
  <si>
    <t>2.1.01.06.010</t>
  </si>
  <si>
    <t>Provis縊 para CSLL</t>
  </si>
  <si>
    <t>2.2.01.23</t>
  </si>
  <si>
    <t>PASSIVOS FISCAIS DIFERIDOS</t>
  </si>
  <si>
    <t>2.2.01.23.001</t>
  </si>
  <si>
    <t>Debitos Fiscais IRPJ - Dif. Temporarias</t>
  </si>
  <si>
    <t>2.2.01.23.002</t>
  </si>
  <si>
    <t>Debitos Fiscais CSLL - Dif. Temporarias</t>
  </si>
  <si>
    <t>2.4.02.08</t>
  </si>
  <si>
    <t>SUBVENﾇﾕES  GOVERNAMENTAS</t>
  </si>
  <si>
    <t>2.4.02.08.001</t>
  </si>
  <si>
    <t>Ajuste Avalia鈬o Patrimonial           2</t>
  </si>
  <si>
    <t>.172.811.479,24-</t>
  </si>
  <si>
    <t>2.4.02.10.002</t>
  </si>
  <si>
    <t>(-) Real./ Ajuste de Avalia鈬o Patrimon</t>
  </si>
  <si>
    <t>2.4.02.10.003</t>
  </si>
  <si>
    <t>(-) Tributo Diferido - IRPJ</t>
  </si>
  <si>
    <t>2.4.02.10.004</t>
  </si>
  <si>
    <t>(-) Tributo Diferido - CSLL</t>
  </si>
  <si>
    <t>2.4.06</t>
  </si>
  <si>
    <t>PREJUIZOS ACUMULADOS</t>
  </si>
  <si>
    <t>2.4.06.01</t>
  </si>
  <si>
    <t>2.4.06.01.001</t>
  </si>
  <si>
    <t>Prejuizos Acumu.Exercicios Anteriores</t>
  </si>
  <si>
    <t>Lucros (prejuízos) acumulados</t>
  </si>
  <si>
    <t>2.4.08.01.023</t>
  </si>
  <si>
    <t>Prejuizos Acumulados Exerc.2014</t>
  </si>
  <si>
    <t>2.4.08.01.024</t>
  </si>
  <si>
    <t>LUCROS ACUMULADOS</t>
  </si>
  <si>
    <t>2.4.08.01.025</t>
  </si>
  <si>
    <t>3.1.01.01.012</t>
  </si>
  <si>
    <t>Utiliza鈬o de 疵ea p/Inst.de Cont麒ner</t>
  </si>
  <si>
    <t>3.1.03.03.081</t>
  </si>
  <si>
    <t>Contingencias Passivas</t>
  </si>
  <si>
    <t>3.1.03.03.087</t>
  </si>
  <si>
    <t>Deprecia鈬o - Convergencias Cont畸eis</t>
  </si>
  <si>
    <t>3.1.03.05</t>
  </si>
  <si>
    <t>(-) Revers縊 de proviss operacionais</t>
  </si>
  <si>
    <t>3.1.03.05.001</t>
  </si>
  <si>
    <t>Contigencias Passivas</t>
  </si>
  <si>
    <t>3.1.03.05.002</t>
  </si>
  <si>
    <t>Cr馘itos de Liq.Duvidosa</t>
  </si>
  <si>
    <t>3.1.03.10</t>
  </si>
  <si>
    <t>SUBVENﾇﾕES GORVENAMENTAIS- CONVENIO CPR</t>
  </si>
  <si>
    <t>3.1.03.10.001</t>
  </si>
  <si>
    <t>CPRH- Subven鋏es Realizadas</t>
  </si>
  <si>
    <t>3.1.03.10.002</t>
  </si>
  <si>
    <t>CPRH - Aplica鈬o Auxilio Moradia</t>
  </si>
  <si>
    <t>3.3</t>
  </si>
  <si>
    <t>RESULTADO NﾃO-OPERACIONAL</t>
  </si>
  <si>
    <t>3.3.01</t>
  </si>
  <si>
    <t>RECEITAS NﾃO-OPERACIONAIS</t>
  </si>
  <si>
    <t>3.3.01.02</t>
  </si>
  <si>
    <t>CREDITOS FISCAIS</t>
  </si>
  <si>
    <t>3.3.01.02.001</t>
  </si>
  <si>
    <t>Imposto Renda Pessoal Juridica</t>
  </si>
  <si>
    <t>3.3.01.02.002</t>
  </si>
  <si>
    <t>TOS:         1.0</t>
  </si>
  <si>
    <t>SUAPE COMPLEXO INDUSTRIAL PORTUÁRIO GOV. ERALDO GUEIROS</t>
  </si>
  <si>
    <t>BALANÇO PATRIMONIAL</t>
  </si>
  <si>
    <t>(em milhares de reais)</t>
  </si>
  <si>
    <t>2012</t>
  </si>
  <si>
    <t>A T I V O</t>
  </si>
  <si>
    <t>(Reapresentado)</t>
  </si>
  <si>
    <t>CIRCULANTE</t>
  </si>
  <si>
    <t>Caixa e equivalentes de caixa</t>
  </si>
  <si>
    <t>Contas a receber</t>
  </si>
  <si>
    <t>Títulos a receber</t>
  </si>
  <si>
    <t>Devedores diversos</t>
  </si>
  <si>
    <t>Tributos a recuperar</t>
  </si>
  <si>
    <t>Outros créditos</t>
  </si>
  <si>
    <t>Total do circulante</t>
  </si>
  <si>
    <t>NÃO CIRCULANTE</t>
  </si>
  <si>
    <t>Realizável a Longo Prazo</t>
  </si>
  <si>
    <t xml:space="preserve">Contas a receber </t>
  </si>
  <si>
    <t>Cauções e depósitos vinculados</t>
  </si>
  <si>
    <t>Créditos fiscais</t>
  </si>
  <si>
    <t xml:space="preserve">Outros créditos </t>
  </si>
  <si>
    <t>Investimentos</t>
  </si>
  <si>
    <t>Imobilizado</t>
  </si>
  <si>
    <t>Custo de aquisição</t>
  </si>
  <si>
    <t>Avaliação a valor justo</t>
  </si>
  <si>
    <t>Depreciação acumulada</t>
  </si>
  <si>
    <t>Intangível</t>
  </si>
  <si>
    <t xml:space="preserve">Custo de aquisição </t>
  </si>
  <si>
    <t>Amortização acumulada</t>
  </si>
  <si>
    <t>Total do não circulante</t>
  </si>
  <si>
    <t>TOTAL DO ATIVO</t>
  </si>
  <si>
    <t>Glauber Ramos Oliveira de Assis</t>
  </si>
  <si>
    <t>CPF nº 027.784.974-80</t>
  </si>
  <si>
    <t>Diretor Administrativo-Financeiro</t>
  </si>
  <si>
    <t>Contador CRC/PE 017099/O-9</t>
  </si>
  <si>
    <t>P A S S I V O</t>
  </si>
  <si>
    <t>Empréstimos e financiamentos</t>
  </si>
  <si>
    <t>Fornecedores</t>
  </si>
  <si>
    <t>Cauções e retenções contratuais</t>
  </si>
  <si>
    <t>Obrigações sociais e tributárias</t>
  </si>
  <si>
    <t>Provisões para férias e respectivos encargos sociais</t>
  </si>
  <si>
    <t>Débitos de convênios - pessoal cedido</t>
  </si>
  <si>
    <t>Juros sobre o capital próprio</t>
  </si>
  <si>
    <t>Outras obrigações</t>
  </si>
  <si>
    <t xml:space="preserve">Obrigações sociais e tributárias </t>
  </si>
  <si>
    <t>Recursos Petrobrás S.A. (Refinaria)</t>
  </si>
  <si>
    <t>Receitas diferidas - subvenções governamentais</t>
  </si>
  <si>
    <t>Tributos diferidos</t>
  </si>
  <si>
    <t>Provisão para contingências</t>
  </si>
  <si>
    <t>Recursos da União</t>
  </si>
  <si>
    <t>PATRIMÔNIO LÍQUIDO</t>
  </si>
  <si>
    <t>Capital social</t>
  </si>
  <si>
    <t>Reservas de capital</t>
  </si>
  <si>
    <t>Ajuste de avaliação patrimonial</t>
  </si>
  <si>
    <t>Recursos destinados a aumento de capital</t>
  </si>
  <si>
    <t>Total do patrimônio líquido</t>
  </si>
  <si>
    <t>TOTAL DO PASSIVO</t>
  </si>
  <si>
    <t>DEMONSTRAÇÃO DO RESULTADO</t>
  </si>
  <si>
    <t>RECEITAS OPERACIONAIS</t>
  </si>
  <si>
    <t>Tarifas portuárias, arrendamentos e aluguéis</t>
  </si>
  <si>
    <t>Deduções da receita bruta</t>
  </si>
  <si>
    <t>RECEITA LÍQUIDA</t>
  </si>
  <si>
    <t>DESPESAS OPERACIONAIS</t>
  </si>
  <si>
    <t>Pessoal</t>
  </si>
  <si>
    <t>Material</t>
  </si>
  <si>
    <t>Serviços de terceiros</t>
  </si>
  <si>
    <t>Aluguéis</t>
  </si>
  <si>
    <t>Depreciações e amortizações</t>
  </si>
  <si>
    <t>Tributárias</t>
  </si>
  <si>
    <t>Gerais e outras</t>
  </si>
  <si>
    <t>Receitas (despesas) de outras atividades</t>
  </si>
  <si>
    <t>RESULTADO OPERACIONAL ANTES DO</t>
  </si>
  <si>
    <t>RESULTADO FINANCEIRO</t>
  </si>
  <si>
    <t>RECEITAS (DESPESAS) FINANCEIRAS</t>
  </si>
  <si>
    <t>Receitas financeiras</t>
  </si>
  <si>
    <t>Despesas financeiras</t>
  </si>
  <si>
    <t>LUCRO ANTES DA CONTRIBUIÇÃO SOCIAL</t>
  </si>
  <si>
    <t>E DO IMPOSTO DE RENDA</t>
  </si>
  <si>
    <t>Provisão para Contribuição Social</t>
  </si>
  <si>
    <t>Provisão para Imposto de Renda</t>
  </si>
  <si>
    <t>LUCRO ANTES DA REVERSÃO DE CRÉDITOS FISCAIS</t>
  </si>
  <si>
    <t>Reversão de créditos fiscais</t>
  </si>
  <si>
    <t>DEMONSTRAÇÃO DO RESULTADO ABRANGENTE</t>
  </si>
  <si>
    <t>Outros resultados abrangentes :</t>
  </si>
  <si>
    <t>Realização do ajuste de avaliação patrimonial por depreciação</t>
  </si>
  <si>
    <t>Tributos diferidos sobre o ajuste de avaliação patrimonial</t>
  </si>
  <si>
    <t>Subvenções governamentais - Convênio CPRH</t>
  </si>
  <si>
    <t>Resultado abrangente total</t>
  </si>
  <si>
    <t>DEMONSTRAÇÃO DAS MUTAÇÕES DO PATRIMÔNIO LÍQUIDO</t>
  </si>
  <si>
    <t>Capital Social</t>
  </si>
  <si>
    <t>Reservas de Capital</t>
  </si>
  <si>
    <t>Ajuste de Avaliação Patrimonial</t>
  </si>
  <si>
    <t>Recursos Dest. Aum. Capital</t>
  </si>
  <si>
    <t>Total</t>
  </si>
  <si>
    <t>Em 31 de dezembro de 2011</t>
  </si>
  <si>
    <t>- Aumento de capital</t>
  </si>
  <si>
    <t>Estado de Pernambuco</t>
  </si>
  <si>
    <t>- Recursos do Estado de Pernambuco</t>
  </si>
  <si>
    <t>Saldos em 31 de dezembro de 2012</t>
  </si>
  <si>
    <t>Saldos em 31 de dezembro de 2013</t>
  </si>
  <si>
    <t>- Ajustes de exercícios anteriores</t>
  </si>
  <si>
    <t>Saldos em 31 de dezembro de 2013 ajustados</t>
  </si>
  <si>
    <t>- Aumento de capital do Governo do Estado de Pernambuco:</t>
  </si>
  <si>
    <t>Decorrente de inversões financeiras</t>
  </si>
  <si>
    <t>- Subvenções governamentais - Convênio CPRH</t>
  </si>
  <si>
    <t>- Avaliação a valor justo do Imobilizado</t>
  </si>
  <si>
    <t>- Passivo fiscal diferido sobre ajuste de avaliação</t>
  </si>
  <si>
    <t>patrimonial</t>
  </si>
  <si>
    <t>- Recursos do Governo do Estado de Pernambuco</t>
  </si>
  <si>
    <t>- Resultado abrangente do exercício</t>
  </si>
  <si>
    <t>Decorrente da capitalização de juros sobre o capital próprio</t>
  </si>
  <si>
    <t>- Realização do ajuste de avaliação patrimonial:</t>
  </si>
  <si>
    <t>Pela depreciação de bens classificados no imobilizado</t>
  </si>
  <si>
    <t>Atualização do passivo fiscal diferido</t>
  </si>
  <si>
    <t>Saldos em 31 de dezembro de 2015</t>
  </si>
  <si>
    <t>DEMONSTRAÇÃO DO FLUXO DE CAIXA</t>
  </si>
  <si>
    <t>FLUXO DE CAIXA PROVENIENTE DAS ATIVIDADES OPERACIONAIS</t>
  </si>
  <si>
    <t>Lucros antes da Contribuição Social e do Imposto de Renda</t>
  </si>
  <si>
    <t>Ajustes para conciliar o lucro do exercício com recursos provenientes</t>
  </si>
  <si>
    <t>das atividade operacionais:</t>
  </si>
  <si>
    <t>Subvenções governamentais</t>
  </si>
  <si>
    <t>Créditos de liquidação duvidosa</t>
  </si>
  <si>
    <t>(Aumento) / Redução de Ativos</t>
  </si>
  <si>
    <t>Títulos a receber (créditos de alienações de terrenos)</t>
  </si>
  <si>
    <t>Tributos e contribuições a recuperar</t>
  </si>
  <si>
    <t>Outros ativos circulantes</t>
  </si>
  <si>
    <t>Outros ativos não circulantes</t>
  </si>
  <si>
    <t>Aumento / (Redução) de Passivos</t>
  </si>
  <si>
    <t>Outros passivos</t>
  </si>
  <si>
    <t>Caixa gerado pelas operações</t>
  </si>
  <si>
    <t>Imposto de Renda e Contribuição Social sobre o Lucro Líquido pagos</t>
  </si>
  <si>
    <t>CAIXA LÍQUIDO PROVENIENTE DAS ATIVIDADES OPERACIONAIS</t>
  </si>
  <si>
    <t>FLUXOS DE CAIXA DAS ATIVIDADES DE FINANCIAMENTO</t>
  </si>
  <si>
    <t>Recursos do Estado de Pernambuco</t>
  </si>
  <si>
    <t>Recursos da Petrobrás S.A. (Refinaria)</t>
  </si>
  <si>
    <t>Convênio - C.P.R.H.</t>
  </si>
  <si>
    <t>Fornecedores (longo prazo)</t>
  </si>
  <si>
    <t>Obrigações sociais e tributárias (Taxa de Ocupação - Longo Prazo)</t>
  </si>
  <si>
    <t>CAIXA LÍQUIDO PROVENIENTE DAS ATIVIDADES DE FINANCIAMENTO</t>
  </si>
  <si>
    <t>FLUXOS DE CAIXA DAS ATIVIDADES DE INVESTIMENTO</t>
  </si>
  <si>
    <t>Aquisições de imobilizado</t>
  </si>
  <si>
    <t>Aquisições de intangíveis</t>
  </si>
  <si>
    <t>CAIXA LÍQUIDO UTILIZADO NAS ATIVIDADES DE INVESTIMENTO</t>
  </si>
  <si>
    <t>VARIAÇÃO LÍQUIDA DE CAIXA</t>
  </si>
  <si>
    <t>DEMONSTRAÇÃO DO VALOR ADICIONADO</t>
  </si>
  <si>
    <t>Receitas</t>
  </si>
  <si>
    <t>Remuneração direta</t>
  </si>
  <si>
    <t>DESCRIÇÃO</t>
  </si>
  <si>
    <t>Insumos adquiridos de terceiros</t>
  </si>
  <si>
    <t>Materiais, energia e outros</t>
  </si>
  <si>
    <t>Valor adicionado bruto</t>
  </si>
  <si>
    <t>Valor adicionado líquido produzido pela entidade</t>
  </si>
  <si>
    <t>Valor adicionado recebido em transferência</t>
  </si>
  <si>
    <t>VALOR ADICIONADO TOTAL A DISTRIBUIR</t>
  </si>
  <si>
    <t>DISTRIBUIÇÃO DO VALOR ADICIONADO</t>
  </si>
  <si>
    <t>3.1.03.01.010</t>
  </si>
  <si>
    <t>3.1.03.01.005</t>
  </si>
  <si>
    <t>Benefícios</t>
  </si>
  <si>
    <t>3.1.03.01.006</t>
  </si>
  <si>
    <t>Impostos, Taxas e Contribuições</t>
  </si>
  <si>
    <t>Federais</t>
  </si>
  <si>
    <t>Estaduais</t>
  </si>
  <si>
    <t>Municipais</t>
  </si>
  <si>
    <t>3.1.03.02.015</t>
  </si>
  <si>
    <t>Seguro de vida</t>
  </si>
  <si>
    <t>3.1.03.02.017</t>
  </si>
  <si>
    <t>Ajuda Custo Material Escolar</t>
  </si>
  <si>
    <t>Remuneração de capitais de terceiros</t>
  </si>
  <si>
    <t>Juros</t>
  </si>
  <si>
    <t>Lucros retidos</t>
  </si>
  <si>
    <t>VALOR ADICIONADO DISTRIBUÍDO</t>
  </si>
  <si>
    <t>3.1.03.01.009</t>
  </si>
  <si>
    <t>Tributos Municipais</t>
  </si>
  <si>
    <t>3.1.03.04.003</t>
  </si>
  <si>
    <t>I.R.R.F.</t>
  </si>
  <si>
    <t>Outras remuneração capitais de terceiros</t>
  </si>
  <si>
    <t>R$ Mil</t>
  </si>
  <si>
    <t>31.12.2015</t>
  </si>
  <si>
    <t>Avaliação a Valor Justo</t>
  </si>
  <si>
    <t>Depreciação</t>
  </si>
  <si>
    <t>Edificações</t>
  </si>
  <si>
    <t>Máquinas e equipamentos</t>
  </si>
  <si>
    <t>Veículos</t>
  </si>
  <si>
    <t>Móveis e utensílios</t>
  </si>
  <si>
    <t>Computadores e periféricos</t>
  </si>
  <si>
    <t>Instalações</t>
  </si>
  <si>
    <t>Obras em andamento</t>
  </si>
  <si>
    <t>INTANGÍVEL</t>
  </si>
  <si>
    <t>Plano diretor</t>
  </si>
  <si>
    <t>Projeto básico ambiental</t>
  </si>
  <si>
    <t>Projeto para privatização do pátio de contêineres</t>
  </si>
  <si>
    <t>Banco de dados</t>
  </si>
  <si>
    <t>Aforamento de áreas – honorários</t>
  </si>
  <si>
    <t>Outros projetos e estudos</t>
  </si>
  <si>
    <t>ITR</t>
  </si>
  <si>
    <t>1.1.01.02.021</t>
  </si>
  <si>
    <t>Bco do Brasil SA c/c 29596</t>
  </si>
  <si>
    <t>1.1.01.02.026</t>
  </si>
  <si>
    <t>Bco Santander sa c. 13.380.8</t>
  </si>
  <si>
    <t>1.1.01.03.024</t>
  </si>
  <si>
    <t>CDB-Banco do Brasil C/30.283-X</t>
  </si>
  <si>
    <t>1.1.01.03.041</t>
  </si>
  <si>
    <t>CDB-Bco Brasil c/c.34553-9</t>
  </si>
  <si>
    <t>1.1.02.05.048</t>
  </si>
  <si>
    <t>1.1.02.05.049</t>
  </si>
  <si>
    <t>CSLL ESTIMATIVA - 2011</t>
  </si>
  <si>
    <t>1.2</t>
  </si>
  <si>
    <t>1.2.01</t>
  </si>
  <si>
    <t>CRﾉDITOS E VALORES REALIZ. APﾓS 01 ANO</t>
  </si>
  <si>
    <t>1.2.01.06</t>
  </si>
  <si>
    <t>1.2.01.06.005</t>
  </si>
  <si>
    <t>Refinaria Abreu e Lima</t>
  </si>
  <si>
    <t>1.2.01.21</t>
  </si>
  <si>
    <t>Contratos em Comodato</t>
  </si>
  <si>
    <t>1.2.01.21.001</t>
  </si>
  <si>
    <t>Sec de Desen Economico Turismo e Esport</t>
  </si>
  <si>
    <t>1.3.00.06.003</t>
  </si>
  <si>
    <t>Tecon Suape</t>
  </si>
  <si>
    <t>1.3.02.01.001</t>
  </si>
  <si>
    <t>Intang咩eis</t>
  </si>
  <si>
    <t>2</t>
  </si>
  <si>
    <t xml:space="preserve">Outras Obrigações </t>
  </si>
  <si>
    <t>3.1.03.03.049</t>
  </si>
  <si>
    <t>Servi輟 Manuten鈬o Pier</t>
  </si>
  <si>
    <t>3.1.03.07.004</t>
  </si>
  <si>
    <t>Direiro de Uso</t>
  </si>
  <si>
    <t>4</t>
  </si>
  <si>
    <t>5</t>
  </si>
  <si>
    <t>2/2012 a 31/12/2</t>
  </si>
  <si>
    <t>12   Pag.:    1</t>
  </si>
  <si>
    <t>iss縊: 24/05/2013</t>
  </si>
  <si>
    <t>Hora: 09:4</t>
  </si>
  <si>
    <t>IR ESTIMATIVA - 2011</t>
  </si>
  <si>
    <t>TOS:           7</t>
  </si>
  <si>
    <t>Saldos em 31 de dezembro de 2016</t>
  </si>
  <si>
    <t>Conta</t>
  </si>
  <si>
    <t>Cod Reduzido</t>
  </si>
  <si>
    <t>Descrição</t>
  </si>
  <si>
    <t>Saldo Inicial</t>
  </si>
  <si>
    <t>Débito</t>
  </si>
  <si>
    <t>Crédito</t>
  </si>
  <si>
    <t>Movimento Mês</t>
  </si>
  <si>
    <t>Saldo Final</t>
  </si>
  <si>
    <t>Saldo Final em Mil</t>
  </si>
  <si>
    <t>1</t>
  </si>
  <si>
    <t xml:space="preserve">1     </t>
  </si>
  <si>
    <t xml:space="preserve">ATIVO                          </t>
  </si>
  <si>
    <t xml:space="preserve">2     </t>
  </si>
  <si>
    <t xml:space="preserve">ATIVO CIRCULANTE               </t>
  </si>
  <si>
    <t xml:space="preserve">3     </t>
  </si>
  <si>
    <t xml:space="preserve">DISPONIBILIDADES               </t>
  </si>
  <si>
    <t xml:space="preserve">4     </t>
  </si>
  <si>
    <t xml:space="preserve">CAIXA GERAL                    </t>
  </si>
  <si>
    <t xml:space="preserve">6     </t>
  </si>
  <si>
    <t xml:space="preserve">Fundo Fixo                     </t>
  </si>
  <si>
    <t xml:space="preserve">7     </t>
  </si>
  <si>
    <t xml:space="preserve">BANCOS C/MOVIMENTO             </t>
  </si>
  <si>
    <t xml:space="preserve">12    </t>
  </si>
  <si>
    <t xml:space="preserve">Banco do Brasil c/c 17.857-8   </t>
  </si>
  <si>
    <t xml:space="preserve">725   </t>
  </si>
  <si>
    <t xml:space="preserve">Bco-Santander sa c. 13388.4    </t>
  </si>
  <si>
    <t xml:space="preserve">727   </t>
  </si>
  <si>
    <t xml:space="preserve">Bco-Santander sa c. 13.367-1-F </t>
  </si>
  <si>
    <t xml:space="preserve">728   </t>
  </si>
  <si>
    <t xml:space="preserve">Bco Santander sa c. 13.374.3 P </t>
  </si>
  <si>
    <t xml:space="preserve">730   </t>
  </si>
  <si>
    <t xml:space="preserve">Bco Santander sa c/13.376-7    </t>
  </si>
  <si>
    <t>1.1.01.02.032</t>
  </si>
  <si>
    <t xml:space="preserve">753   </t>
  </si>
  <si>
    <t xml:space="preserve">Bco Brasil c/c 34554-7         </t>
  </si>
  <si>
    <t xml:space="preserve">918   </t>
  </si>
  <si>
    <t xml:space="preserve">Caixa E.Federal c/251.0 ag.351 </t>
  </si>
  <si>
    <t xml:space="preserve">919   </t>
  </si>
  <si>
    <t xml:space="preserve">Caixa E.Federal c/c.250.2 ag.3 </t>
  </si>
  <si>
    <t xml:space="preserve">920   </t>
  </si>
  <si>
    <t xml:space="preserve">Caixa E.Federal  c.252.9 ag.35 </t>
  </si>
  <si>
    <t xml:space="preserve">931   </t>
  </si>
  <si>
    <t xml:space="preserve">Cx.Economica Federal Ag.3515 c </t>
  </si>
  <si>
    <t xml:space="preserve">944   </t>
  </si>
  <si>
    <t xml:space="preserve">Banco Brasil s.a c/c.40.814X   </t>
  </si>
  <si>
    <t xml:space="preserve">17    </t>
  </si>
  <si>
    <t xml:space="preserve">APLICAÇÃOES FINANCEIRAS        </t>
  </si>
  <si>
    <t xml:space="preserve">729   </t>
  </si>
  <si>
    <t xml:space="preserve">CDB- Santander sa c/13.374-3 P </t>
  </si>
  <si>
    <t xml:space="preserve">731   </t>
  </si>
  <si>
    <t xml:space="preserve">CDB- Santander sa c. 13.376-7  </t>
  </si>
  <si>
    <t xml:space="preserve">732   </t>
  </si>
  <si>
    <t xml:space="preserve">CDB-Santander sa c.13.367-1-FU </t>
  </si>
  <si>
    <t xml:space="preserve">740   </t>
  </si>
  <si>
    <t xml:space="preserve">CDB-Santander sa. c/13.388-4   </t>
  </si>
  <si>
    <t xml:space="preserve">748   </t>
  </si>
  <si>
    <t xml:space="preserve">CDB-Bco do Brasil sa.c/17857-8 </t>
  </si>
  <si>
    <t xml:space="preserve">916   </t>
  </si>
  <si>
    <t xml:space="preserve">Caixa Econ.Fed.c/c/250/2       </t>
  </si>
  <si>
    <t xml:space="preserve">946   </t>
  </si>
  <si>
    <t xml:space="preserve">CDB-Brasil s.a c/40814X        </t>
  </si>
  <si>
    <t xml:space="preserve">959   </t>
  </si>
  <si>
    <t xml:space="preserve">Caixa Fic GIRO Empresas        </t>
  </si>
  <si>
    <t>1.1.01.03.050</t>
  </si>
  <si>
    <t xml:space="preserve">1065  </t>
  </si>
  <si>
    <t xml:space="preserve">Bco Brasil rend.Fixa 500 c/178 </t>
  </si>
  <si>
    <t xml:space="preserve">1070  </t>
  </si>
  <si>
    <t xml:space="preserve">Caixa E.Federal c/poup.22-0    </t>
  </si>
  <si>
    <t xml:space="preserve">1071  </t>
  </si>
  <si>
    <t xml:space="preserve">Bco Brasil c/34553-9 POUPANÇA  </t>
  </si>
  <si>
    <t xml:space="preserve">1072  </t>
  </si>
  <si>
    <t xml:space="preserve">Caixa E.Federal c/29-8- POUPAN </t>
  </si>
  <si>
    <t xml:space="preserve">1077  </t>
  </si>
  <si>
    <t xml:space="preserve">Caixa Fic Liq.Curto Prazo      </t>
  </si>
  <si>
    <t>1.1.01.03.059</t>
  </si>
  <si>
    <t xml:space="preserve">1108  </t>
  </si>
  <si>
    <t xml:space="preserve">FI CAIXA-Renda Fixa Simples Lo </t>
  </si>
  <si>
    <t xml:space="preserve">28    </t>
  </si>
  <si>
    <t xml:space="preserve">REALIZÁVEL A CURTO PRAZO       </t>
  </si>
  <si>
    <t xml:space="preserve">29    </t>
  </si>
  <si>
    <t xml:space="preserve">CLIENTES                       </t>
  </si>
  <si>
    <t xml:space="preserve">30    </t>
  </si>
  <si>
    <t xml:space="preserve">Clientes Diversos              </t>
  </si>
  <si>
    <t xml:space="preserve">1034  </t>
  </si>
  <si>
    <t xml:space="preserve">Baixas de Creditos Não liquido </t>
  </si>
  <si>
    <t xml:space="preserve">31    </t>
  </si>
  <si>
    <t xml:space="preserve">(-)Prov p/créd de liqui. duvid </t>
  </si>
  <si>
    <t xml:space="preserve">34    </t>
  </si>
  <si>
    <t xml:space="preserve">ADIANTAMENTO A FUNCIONÁRIOS    </t>
  </si>
  <si>
    <t xml:space="preserve">35    </t>
  </si>
  <si>
    <t xml:space="preserve">Emprest. de Ferias             </t>
  </si>
  <si>
    <t xml:space="preserve">36    </t>
  </si>
  <si>
    <t xml:space="preserve">Adiantamento de férias         </t>
  </si>
  <si>
    <t xml:space="preserve">38    </t>
  </si>
  <si>
    <t xml:space="preserve">Adiantamento p/desp de viagens </t>
  </si>
  <si>
    <t xml:space="preserve">39    </t>
  </si>
  <si>
    <t xml:space="preserve">Ad. p/ aquisição de materias   </t>
  </si>
  <si>
    <t xml:space="preserve">314   </t>
  </si>
  <si>
    <t xml:space="preserve">Divs creditos                  </t>
  </si>
  <si>
    <t xml:space="preserve">40    </t>
  </si>
  <si>
    <t xml:space="preserve">IMPOSTOS A RECUPERAR           </t>
  </si>
  <si>
    <t xml:space="preserve">41    </t>
  </si>
  <si>
    <t xml:space="preserve">I.R.R.F a recuperar BB         </t>
  </si>
  <si>
    <t xml:space="preserve">43    </t>
  </si>
  <si>
    <t xml:space="preserve">I.S.S. a recuperar             </t>
  </si>
  <si>
    <t xml:space="preserve">474   </t>
  </si>
  <si>
    <t xml:space="preserve">PIS pasep a reuperar           </t>
  </si>
  <si>
    <t xml:space="preserve">475   </t>
  </si>
  <si>
    <t xml:space="preserve">COFINS a recuperar             </t>
  </si>
  <si>
    <t xml:space="preserve">491   </t>
  </si>
  <si>
    <t xml:space="preserve">IR Retido Fonte no Exercicio   </t>
  </si>
  <si>
    <t xml:space="preserve">493   </t>
  </si>
  <si>
    <t xml:space="preserve">IR Pago a maior ou ind. no Exe </t>
  </si>
  <si>
    <t xml:space="preserve">501   </t>
  </si>
  <si>
    <t xml:space="preserve">CSLL Retida n/fonte n/exerc.   </t>
  </si>
  <si>
    <t xml:space="preserve">608   </t>
  </si>
  <si>
    <t xml:space="preserve">Pagto Pis a Maior              </t>
  </si>
  <si>
    <t xml:space="preserve">609   </t>
  </si>
  <si>
    <t xml:space="preserve">Pagto Cofins a Maior           </t>
  </si>
  <si>
    <t xml:space="preserve">636   </t>
  </si>
  <si>
    <t xml:space="preserve">CSRF A Recuperar               </t>
  </si>
  <si>
    <t xml:space="preserve">635   </t>
  </si>
  <si>
    <t xml:space="preserve">ICMS A Recuperar               </t>
  </si>
  <si>
    <t xml:space="preserve">717   </t>
  </si>
  <si>
    <t xml:space="preserve">IR Pago a Maior Exerc.2010     </t>
  </si>
  <si>
    <t xml:space="preserve">719   </t>
  </si>
  <si>
    <t xml:space="preserve">IR-Pago a Maior Exerc.2011     </t>
  </si>
  <si>
    <t xml:space="preserve">720   </t>
  </si>
  <si>
    <t xml:space="preserve">CSLL-Pago a Maior Exerc.2011   </t>
  </si>
  <si>
    <t xml:space="preserve">961   </t>
  </si>
  <si>
    <t xml:space="preserve">IRRF PG.INDEVIDO-2012          </t>
  </si>
  <si>
    <t xml:space="preserve">1039  </t>
  </si>
  <si>
    <t xml:space="preserve">Pis Não Cumulativo             </t>
  </si>
  <si>
    <t xml:space="preserve">1040  </t>
  </si>
  <si>
    <t xml:space="preserve">Cofins Não Cumulativo          </t>
  </si>
  <si>
    <t xml:space="preserve">1078  </t>
  </si>
  <si>
    <t xml:space="preserve">I N S S                        </t>
  </si>
  <si>
    <t xml:space="preserve">1079  </t>
  </si>
  <si>
    <t xml:space="preserve">IR- A Recuperar - Caixa        </t>
  </si>
  <si>
    <t xml:space="preserve">1080  </t>
  </si>
  <si>
    <t xml:space="preserve">IR- A Recuperar - Santander    </t>
  </si>
  <si>
    <t>1.1.02.05.068</t>
  </si>
  <si>
    <t xml:space="preserve">1097  </t>
  </si>
  <si>
    <t xml:space="preserve">IRPJ - ESTIMATIVA 2016         </t>
  </si>
  <si>
    <t>1.1.02.05.069</t>
  </si>
  <si>
    <t xml:space="preserve">1098  </t>
  </si>
  <si>
    <t xml:space="preserve">CSLL - ESTIMATIVA 2016         </t>
  </si>
  <si>
    <t xml:space="preserve">44    </t>
  </si>
  <si>
    <t xml:space="preserve">TÍTULOS A RECEBER              </t>
  </si>
  <si>
    <t xml:space="preserve">45    </t>
  </si>
  <si>
    <t xml:space="preserve">Terrenos                       </t>
  </si>
  <si>
    <t xml:space="preserve">436   </t>
  </si>
  <si>
    <t xml:space="preserve">Outros Devedores               </t>
  </si>
  <si>
    <t xml:space="preserve">1038  </t>
  </si>
  <si>
    <t xml:space="preserve">Provisão P/Devedores Duvidosos </t>
  </si>
  <si>
    <t>1.1.02.06.006</t>
  </si>
  <si>
    <t xml:space="preserve">1110  </t>
  </si>
  <si>
    <t xml:space="preserve">TOMADA DE CONTAS ESPECIAL/ ITB </t>
  </si>
  <si>
    <t xml:space="preserve">46    </t>
  </si>
  <si>
    <t xml:space="preserve">TRIBUTOS A RECUP - SALDO NEGAT </t>
  </si>
  <si>
    <t xml:space="preserve">902   </t>
  </si>
  <si>
    <t xml:space="preserve">IRPJ-Saldo Negativo-2011       </t>
  </si>
  <si>
    <t xml:space="preserve">901   </t>
  </si>
  <si>
    <t xml:space="preserve">CSLL-Saldo Negativo 2011       </t>
  </si>
  <si>
    <t xml:space="preserve">968   </t>
  </si>
  <si>
    <t xml:space="preserve">IRPJ - Saldo Negativo 2013     </t>
  </si>
  <si>
    <t>1.1.02.07.031</t>
  </si>
  <si>
    <t xml:space="preserve">1046  </t>
  </si>
  <si>
    <t xml:space="preserve">IRPJ-Saldo Neg.2015            </t>
  </si>
  <si>
    <t>1.1.02.07.034</t>
  </si>
  <si>
    <t xml:space="preserve">1109  </t>
  </si>
  <si>
    <t xml:space="preserve">CSL - Saldo Negativo - 2015    </t>
  </si>
  <si>
    <t xml:space="preserve">697   </t>
  </si>
  <si>
    <t xml:space="preserve">PROV. IR -S / APLICAÇÃO        </t>
  </si>
  <si>
    <t xml:space="preserve">698   </t>
  </si>
  <si>
    <t xml:space="preserve">BANCO DO BRASIL SA.            </t>
  </si>
  <si>
    <t xml:space="preserve">781   </t>
  </si>
  <si>
    <t xml:space="preserve">SANTANDER SA                   </t>
  </si>
  <si>
    <t xml:space="preserve">922   </t>
  </si>
  <si>
    <t xml:space="preserve">CAIXA E.FEDERAL                </t>
  </si>
  <si>
    <t xml:space="preserve">50    </t>
  </si>
  <si>
    <t xml:space="preserve">OUTROS CRÉDITOS                </t>
  </si>
  <si>
    <t xml:space="preserve">539   </t>
  </si>
  <si>
    <t xml:space="preserve">Prefeitura M. de Ipojuca       </t>
  </si>
  <si>
    <t xml:space="preserve">541   </t>
  </si>
  <si>
    <t xml:space="preserve">SDETE (Leia)                   </t>
  </si>
  <si>
    <t xml:space="preserve">543   </t>
  </si>
  <si>
    <t xml:space="preserve">SDETE (Taciana)                </t>
  </si>
  <si>
    <t xml:space="preserve">559   </t>
  </si>
  <si>
    <t xml:space="preserve">P.Cidade do Recife (veronica)  </t>
  </si>
  <si>
    <t xml:space="preserve">51    </t>
  </si>
  <si>
    <t xml:space="preserve">DESPESAS PAGAS ANTECIPADAMENTE </t>
  </si>
  <si>
    <t xml:space="preserve">53    </t>
  </si>
  <si>
    <t xml:space="preserve">PAGAMENTO ANTECIPADO-OUTRAS DE </t>
  </si>
  <si>
    <t xml:space="preserve">319   </t>
  </si>
  <si>
    <t xml:space="preserve">13º Salarios                   </t>
  </si>
  <si>
    <t xml:space="preserve">320   </t>
  </si>
  <si>
    <t xml:space="preserve">Diversos                       </t>
  </si>
  <si>
    <t xml:space="preserve">71    </t>
  </si>
  <si>
    <t xml:space="preserve">ATIVO NÃO CIRCULANTE           </t>
  </si>
  <si>
    <t xml:space="preserve">837   </t>
  </si>
  <si>
    <t xml:space="preserve">REALIZAVEL A LONGO PRAZO       </t>
  </si>
  <si>
    <t xml:space="preserve">1082  </t>
  </si>
  <si>
    <t xml:space="preserve">CAUÇÕES                        </t>
  </si>
  <si>
    <t xml:space="preserve">1083  </t>
  </si>
  <si>
    <t xml:space="preserve">1084  </t>
  </si>
  <si>
    <t xml:space="preserve">DEPOSITOS JUDICIAIS            </t>
  </si>
  <si>
    <t xml:space="preserve">1085  </t>
  </si>
  <si>
    <t xml:space="preserve">DEPOSITOS LEGAIS               </t>
  </si>
  <si>
    <t xml:space="preserve">851   </t>
  </si>
  <si>
    <t xml:space="preserve">TITULOS A RECEBER              </t>
  </si>
  <si>
    <t xml:space="preserve">853   </t>
  </si>
  <si>
    <t xml:space="preserve">Suape Graneis                  </t>
  </si>
  <si>
    <t xml:space="preserve">941   </t>
  </si>
  <si>
    <t xml:space="preserve">Sec.de Desenvolvimento Economi </t>
  </si>
  <si>
    <t xml:space="preserve">860   </t>
  </si>
  <si>
    <t xml:space="preserve">Outros créditos                </t>
  </si>
  <si>
    <t xml:space="preserve">861   </t>
  </si>
  <si>
    <t xml:space="preserve">Adiant.p/aumento de Capital    </t>
  </si>
  <si>
    <t xml:space="preserve">72    </t>
  </si>
  <si>
    <t xml:space="preserve">IVESTIMENTOS                   </t>
  </si>
  <si>
    <t xml:space="preserve">73    </t>
  </si>
  <si>
    <t xml:space="preserve">QUOTAS E CERTIFICADOS          </t>
  </si>
  <si>
    <t xml:space="preserve">74    </t>
  </si>
  <si>
    <t xml:space="preserve">Quotas e certificados - Princi </t>
  </si>
  <si>
    <t xml:space="preserve">75    </t>
  </si>
  <si>
    <t xml:space="preserve">Quotas e certificados - CMC    </t>
  </si>
  <si>
    <t xml:space="preserve">76    </t>
  </si>
  <si>
    <t xml:space="preserve">AÇÕES                          </t>
  </si>
  <si>
    <t xml:space="preserve">77    </t>
  </si>
  <si>
    <t xml:space="preserve">Ações - Principal              </t>
  </si>
  <si>
    <t xml:space="preserve">78    </t>
  </si>
  <si>
    <t xml:space="preserve">Ações - CMC (Corr.Mon. Compl.) </t>
  </si>
  <si>
    <t xml:space="preserve">456   </t>
  </si>
  <si>
    <t xml:space="preserve">PROVISAO P/PERDAS DE INVESTIME </t>
  </si>
  <si>
    <t xml:space="preserve">457   </t>
  </si>
  <si>
    <t xml:space="preserve">PERPART.                       </t>
  </si>
  <si>
    <t xml:space="preserve">79    </t>
  </si>
  <si>
    <t xml:space="preserve">IMOBILIZADO                    </t>
  </si>
  <si>
    <t xml:space="preserve">80    </t>
  </si>
  <si>
    <t xml:space="preserve">IMOBILIZADO TÉCNICO            </t>
  </si>
  <si>
    <t xml:space="preserve">82    </t>
  </si>
  <si>
    <t xml:space="preserve">83    </t>
  </si>
  <si>
    <t xml:space="preserve">Reservatórios, Barragens e Adu </t>
  </si>
  <si>
    <t xml:space="preserve">84    </t>
  </si>
  <si>
    <t xml:space="preserve">Edificações, Obras civis e Ben </t>
  </si>
  <si>
    <t xml:space="preserve">85    </t>
  </si>
  <si>
    <t xml:space="preserve">Maquinas e Equipamentos        </t>
  </si>
  <si>
    <t xml:space="preserve">86    </t>
  </si>
  <si>
    <t xml:space="preserve">Veículos                       </t>
  </si>
  <si>
    <t xml:space="preserve">87    </t>
  </si>
  <si>
    <t xml:space="preserve">Móveis e Utensilios            </t>
  </si>
  <si>
    <t xml:space="preserve">460   </t>
  </si>
  <si>
    <t xml:space="preserve">Computadores e Perifericos     </t>
  </si>
  <si>
    <t xml:space="preserve">464   </t>
  </si>
  <si>
    <t xml:space="preserve">Instalaçoes                    </t>
  </si>
  <si>
    <t xml:space="preserve">691   </t>
  </si>
  <si>
    <t xml:space="preserve">Eletrovia                      </t>
  </si>
  <si>
    <t xml:space="preserve">745   </t>
  </si>
  <si>
    <t xml:space="preserve">Obra de Duplicação Dist.Rod.Su </t>
  </si>
  <si>
    <t xml:space="preserve">792   </t>
  </si>
  <si>
    <t xml:space="preserve">Infra-Estrutura Acessos a Indl </t>
  </si>
  <si>
    <t xml:space="preserve">797   </t>
  </si>
  <si>
    <t xml:space="preserve">Acesso e Drenagem ZIP3         </t>
  </si>
  <si>
    <t xml:space="preserve">810   </t>
  </si>
  <si>
    <t xml:space="preserve">Duplicação TDR (Tronco Dist. R </t>
  </si>
  <si>
    <t xml:space="preserve">811   </t>
  </si>
  <si>
    <t xml:space="preserve">Edificações Obras base zero    </t>
  </si>
  <si>
    <t xml:space="preserve">821   </t>
  </si>
  <si>
    <t xml:space="preserve">Duplicação Av.Portuária        </t>
  </si>
  <si>
    <t xml:space="preserve">989   </t>
  </si>
  <si>
    <t xml:space="preserve">Duplicação PE-60               </t>
  </si>
  <si>
    <t xml:space="preserve">990   </t>
  </si>
  <si>
    <t xml:space="preserve">Terraplenagem ZI3/TDR NORTE/PE </t>
  </si>
  <si>
    <t xml:space="preserve">1042  </t>
  </si>
  <si>
    <t xml:space="preserve">Terminais Portuarios           </t>
  </si>
  <si>
    <t>1.3.02.01.064</t>
  </si>
  <si>
    <t xml:space="preserve">327   </t>
  </si>
  <si>
    <t xml:space="preserve">Contrato 065/2014 Linear Eng.  </t>
  </si>
  <si>
    <t>1.3.02.01.065</t>
  </si>
  <si>
    <t xml:space="preserve">333   </t>
  </si>
  <si>
    <t xml:space="preserve">Contrato 054/2013-Norconsult   </t>
  </si>
  <si>
    <t>1.3.02.01.066</t>
  </si>
  <si>
    <t xml:space="preserve">334   </t>
  </si>
  <si>
    <t xml:space="preserve">Contrato 030-2015 Const.SBM    </t>
  </si>
  <si>
    <t xml:space="preserve">88    </t>
  </si>
  <si>
    <t xml:space="preserve">CORREÇÃO MONETARIA COMPLEMENTA </t>
  </si>
  <si>
    <t xml:space="preserve">91    </t>
  </si>
  <si>
    <t xml:space="preserve">CMC - Reservatórios, Barragens </t>
  </si>
  <si>
    <t xml:space="preserve">92    </t>
  </si>
  <si>
    <t xml:space="preserve">CMC - Edific., Obras civis e B </t>
  </si>
  <si>
    <t xml:space="preserve">96    </t>
  </si>
  <si>
    <t xml:space="preserve">OBRAS EM ANDAMENTO             </t>
  </si>
  <si>
    <t xml:space="preserve">323   </t>
  </si>
  <si>
    <t xml:space="preserve">Obras em andamentos            </t>
  </si>
  <si>
    <t xml:space="preserve">324   </t>
  </si>
  <si>
    <t xml:space="preserve">CMC-(Coor.Mon.Compl) Obras em  </t>
  </si>
  <si>
    <t xml:space="preserve">638   </t>
  </si>
  <si>
    <t xml:space="preserve">Terminal de Minerios           </t>
  </si>
  <si>
    <t xml:space="preserve">639   </t>
  </si>
  <si>
    <t xml:space="preserve">Acesso Z13                     </t>
  </si>
  <si>
    <t xml:space="preserve">642   </t>
  </si>
  <si>
    <t xml:space="preserve">Acesso Nova Tatuoca            </t>
  </si>
  <si>
    <t xml:space="preserve">643   </t>
  </si>
  <si>
    <t xml:space="preserve">Acesso Viario                  </t>
  </si>
  <si>
    <t xml:space="preserve">644   </t>
  </si>
  <si>
    <t xml:space="preserve">Duplicaçao TDR (Tronco Dist. R </t>
  </si>
  <si>
    <t xml:space="preserve">645   </t>
  </si>
  <si>
    <t xml:space="preserve">Dragagem Bacia Manobras        </t>
  </si>
  <si>
    <t xml:space="preserve">646   </t>
  </si>
  <si>
    <t xml:space="preserve">CAIS V                         </t>
  </si>
  <si>
    <t xml:space="preserve">647   </t>
  </si>
  <si>
    <t xml:space="preserve">CAIS IV                        </t>
  </si>
  <si>
    <t xml:space="preserve">649   </t>
  </si>
  <si>
    <t xml:space="preserve">Parque Eolico                  </t>
  </si>
  <si>
    <t xml:space="preserve">650   </t>
  </si>
  <si>
    <t xml:space="preserve">Acesso Lote Suata Log          </t>
  </si>
  <si>
    <t xml:space="preserve">654   </t>
  </si>
  <si>
    <t xml:space="preserve">Obras de Infra-estrura         </t>
  </si>
  <si>
    <t xml:space="preserve">718   </t>
  </si>
  <si>
    <t xml:space="preserve">Adiantamento Estaleiro         </t>
  </si>
  <si>
    <t xml:space="preserve">97    </t>
  </si>
  <si>
    <t xml:space="preserve">(-) DEPRECIAÇÃO ACUMUL-IMOBILI </t>
  </si>
  <si>
    <t xml:space="preserve">98    </t>
  </si>
  <si>
    <t xml:space="preserve">(-)  Reserv, Barrag Adut       </t>
  </si>
  <si>
    <t xml:space="preserve">99    </t>
  </si>
  <si>
    <t xml:space="preserve">(-) Edificacoes, Obras, Benf.  </t>
  </si>
  <si>
    <t xml:space="preserve">100   </t>
  </si>
  <si>
    <t xml:space="preserve">(-) Maquinas e equipamentos.   </t>
  </si>
  <si>
    <t xml:space="preserve">101   </t>
  </si>
  <si>
    <t xml:space="preserve">(-)  Veiculos                  </t>
  </si>
  <si>
    <t xml:space="preserve">102   </t>
  </si>
  <si>
    <t xml:space="preserve">(-) Móveis e utensilios        </t>
  </si>
  <si>
    <t xml:space="preserve">462   </t>
  </si>
  <si>
    <t xml:space="preserve">(-) Computadores e periferico  </t>
  </si>
  <si>
    <t xml:space="preserve">465   </t>
  </si>
  <si>
    <t xml:space="preserve">(-) Instalaçoes                </t>
  </si>
  <si>
    <t xml:space="preserve">103   </t>
  </si>
  <si>
    <t xml:space="preserve">104   </t>
  </si>
  <si>
    <t xml:space="preserve">(-) Deprec acum-CMC-Reserv,Bar </t>
  </si>
  <si>
    <t xml:space="preserve">105   </t>
  </si>
  <si>
    <t xml:space="preserve">(-) Deprec acum-CMC-Edif, Obra </t>
  </si>
  <si>
    <t xml:space="preserve">996   </t>
  </si>
  <si>
    <t xml:space="preserve">CONVERGENCIA CONTABIL LEI 1163 </t>
  </si>
  <si>
    <t xml:space="preserve">997   </t>
  </si>
  <si>
    <t xml:space="preserve">Atualização -Terrenos          </t>
  </si>
  <si>
    <t xml:space="preserve">998   </t>
  </si>
  <si>
    <t xml:space="preserve">Atualização - Edificações      </t>
  </si>
  <si>
    <t xml:space="preserve">1006  </t>
  </si>
  <si>
    <t xml:space="preserve">Atualização -Eletrovia         </t>
  </si>
  <si>
    <t xml:space="preserve">1013  </t>
  </si>
  <si>
    <t xml:space="preserve">Atualização -Infra Estrutura A </t>
  </si>
  <si>
    <t xml:space="preserve">1015  </t>
  </si>
  <si>
    <t xml:space="preserve">Atualização -Acesso Drag.Zip   </t>
  </si>
  <si>
    <t xml:space="preserve">1017  </t>
  </si>
  <si>
    <t xml:space="preserve">Atualização -Duplicação TDR    </t>
  </si>
  <si>
    <t xml:space="preserve">1018  </t>
  </si>
  <si>
    <t xml:space="preserve">Atualização -Obras de Terraple </t>
  </si>
  <si>
    <t xml:space="preserve">1020  </t>
  </si>
  <si>
    <t xml:space="preserve">Atualização -Duplicação Av.Por </t>
  </si>
  <si>
    <t xml:space="preserve">1044  </t>
  </si>
  <si>
    <t xml:space="preserve">Atualização - Terminais Portua </t>
  </si>
  <si>
    <t xml:space="preserve">1051  </t>
  </si>
  <si>
    <t xml:space="preserve">(-) DEPRECIAÇÃO - CONVERGENCIA </t>
  </si>
  <si>
    <t xml:space="preserve">1053  </t>
  </si>
  <si>
    <t xml:space="preserve">(-) Edificações                </t>
  </si>
  <si>
    <t xml:space="preserve">1054  </t>
  </si>
  <si>
    <t xml:space="preserve">(-) Eletrovia                  </t>
  </si>
  <si>
    <t xml:space="preserve">1055  </t>
  </si>
  <si>
    <t xml:space="preserve">(-) Infra Estrutura Ac         </t>
  </si>
  <si>
    <t xml:space="preserve">1056  </t>
  </si>
  <si>
    <t xml:space="preserve">(-) Acesso Drag. Zip.          </t>
  </si>
  <si>
    <t xml:space="preserve">1057  </t>
  </si>
  <si>
    <t xml:space="preserve">(-) Duplicação TDR             </t>
  </si>
  <si>
    <t xml:space="preserve">1058  </t>
  </si>
  <si>
    <t xml:space="preserve">(-) Obras de Terraplenagem     </t>
  </si>
  <si>
    <t xml:space="preserve">1059  </t>
  </si>
  <si>
    <t xml:space="preserve">(-) Duplicação Av. Portuária   </t>
  </si>
  <si>
    <t xml:space="preserve">1063  </t>
  </si>
  <si>
    <t xml:space="preserve">(-) Terminais Portuários       </t>
  </si>
  <si>
    <t xml:space="preserve">784   </t>
  </si>
  <si>
    <t xml:space="preserve">INTANGÍVEL                     </t>
  </si>
  <si>
    <t xml:space="preserve">785   </t>
  </si>
  <si>
    <t xml:space="preserve">Estudos e Projetos             </t>
  </si>
  <si>
    <t xml:space="preserve">786   </t>
  </si>
  <si>
    <t xml:space="preserve">Projeto de Ampliação e Mordeni </t>
  </si>
  <si>
    <t xml:space="preserve">830   </t>
  </si>
  <si>
    <t xml:space="preserve">Estudos e Aval.Passivos Socioe </t>
  </si>
  <si>
    <t xml:space="preserve">831   </t>
  </si>
  <si>
    <t xml:space="preserve">Estudo Faunístico do Cluster N </t>
  </si>
  <si>
    <t xml:space="preserve">866   </t>
  </si>
  <si>
    <t xml:space="preserve">IntagívelProjeto p/Privsatizaç </t>
  </si>
  <si>
    <t xml:space="preserve">867   </t>
  </si>
  <si>
    <t xml:space="preserve">Projeto Básico Ambiental       </t>
  </si>
  <si>
    <t xml:space="preserve">868   </t>
  </si>
  <si>
    <t xml:space="preserve">Comissão                       </t>
  </si>
  <si>
    <t xml:space="preserve">869   </t>
  </si>
  <si>
    <t xml:space="preserve">Reformulação da Politica Portu </t>
  </si>
  <si>
    <t xml:space="preserve">870   </t>
  </si>
  <si>
    <t xml:space="preserve">Pesquisas                      </t>
  </si>
  <si>
    <t xml:space="preserve">871   </t>
  </si>
  <si>
    <t xml:space="preserve">Banco de Dados                 </t>
  </si>
  <si>
    <t xml:space="preserve">872   </t>
  </si>
  <si>
    <t xml:space="preserve">Estudos Geotecnicos            </t>
  </si>
  <si>
    <t xml:space="preserve">875   </t>
  </si>
  <si>
    <t xml:space="preserve">Projetos Executivos            </t>
  </si>
  <si>
    <t xml:space="preserve">878   </t>
  </si>
  <si>
    <t xml:space="preserve">Plano Diretor                  </t>
  </si>
  <si>
    <t xml:space="preserve">913   </t>
  </si>
  <si>
    <t xml:space="preserve">Aforamento de Areas - SPU - Ho </t>
  </si>
  <si>
    <t xml:space="preserve">942   </t>
  </si>
  <si>
    <t xml:space="preserve">Reflorestamento                </t>
  </si>
  <si>
    <t xml:space="preserve">947   </t>
  </si>
  <si>
    <t xml:space="preserve">Estudos                        </t>
  </si>
  <si>
    <t xml:space="preserve">876   </t>
  </si>
  <si>
    <t xml:space="preserve">(-) AMORTIZAÇÃO ACUMULADA      </t>
  </si>
  <si>
    <t xml:space="preserve">889   </t>
  </si>
  <si>
    <t xml:space="preserve">(-) Projeto p/Privatização do  </t>
  </si>
  <si>
    <t xml:space="preserve">890   </t>
  </si>
  <si>
    <t xml:space="preserve">(-) Projeto Basico Ambiental   </t>
  </si>
  <si>
    <t xml:space="preserve">891   </t>
  </si>
  <si>
    <t xml:space="preserve">(-) Comissão                   </t>
  </si>
  <si>
    <t xml:space="preserve">892   </t>
  </si>
  <si>
    <t xml:space="preserve">(-) Reformulação da Politica P </t>
  </si>
  <si>
    <t xml:space="preserve">893   </t>
  </si>
  <si>
    <t xml:space="preserve">(-) Pesquisas                  </t>
  </si>
  <si>
    <t xml:space="preserve">894   </t>
  </si>
  <si>
    <t xml:space="preserve">(-) Bancos de Dados            </t>
  </si>
  <si>
    <t xml:space="preserve">895   </t>
  </si>
  <si>
    <t xml:space="preserve">(-) Estudos Geotecnicos        </t>
  </si>
  <si>
    <t xml:space="preserve">899   </t>
  </si>
  <si>
    <t xml:space="preserve">(-) Plano Diretor              </t>
  </si>
  <si>
    <t xml:space="preserve">978   </t>
  </si>
  <si>
    <t xml:space="preserve">(_) Aforamento SPU             </t>
  </si>
  <si>
    <t xml:space="preserve">904   </t>
  </si>
  <si>
    <t xml:space="preserve">905   </t>
  </si>
  <si>
    <t xml:space="preserve">CMC- Intangível                </t>
  </si>
  <si>
    <t xml:space="preserve">118   </t>
  </si>
  <si>
    <t xml:space="preserve">PASSIVO                        </t>
  </si>
  <si>
    <t xml:space="preserve">119   </t>
  </si>
  <si>
    <t xml:space="preserve">PASSIVO CIRCULANTE             </t>
  </si>
  <si>
    <t xml:space="preserve">120   </t>
  </si>
  <si>
    <t xml:space="preserve">OBRIGAÇÕES VENCIVEIS ATÉ 01 AN </t>
  </si>
  <si>
    <t xml:space="preserve">121   </t>
  </si>
  <si>
    <t xml:space="preserve">FORNECEDORES                   </t>
  </si>
  <si>
    <t xml:space="preserve">122   </t>
  </si>
  <si>
    <t xml:space="preserve">Fornecedores de Materiais      </t>
  </si>
  <si>
    <t xml:space="preserve">124   </t>
  </si>
  <si>
    <t xml:space="preserve">Fornecedores de serviços - P.J </t>
  </si>
  <si>
    <t xml:space="preserve">429   </t>
  </si>
  <si>
    <t xml:space="preserve">Empreiteiras (Retenção de Cauç </t>
  </si>
  <si>
    <t xml:space="preserve">125   </t>
  </si>
  <si>
    <t xml:space="preserve">OBRIGAÇÕES SOCIAIS             </t>
  </si>
  <si>
    <t xml:space="preserve">126   </t>
  </si>
  <si>
    <t xml:space="preserve">Salários e ordenados a pagar   </t>
  </si>
  <si>
    <t xml:space="preserve">128   </t>
  </si>
  <si>
    <t xml:space="preserve">13º Salarios a pagar           </t>
  </si>
  <si>
    <t xml:space="preserve">129   </t>
  </si>
  <si>
    <t xml:space="preserve">Ind. Trabalhista               </t>
  </si>
  <si>
    <t xml:space="preserve">130   </t>
  </si>
  <si>
    <t xml:space="preserve">Pensão alimenticia             </t>
  </si>
  <si>
    <t xml:space="preserve">132   </t>
  </si>
  <si>
    <t xml:space="preserve">Associação de classe           </t>
  </si>
  <si>
    <t xml:space="preserve">133   </t>
  </si>
  <si>
    <t xml:space="preserve">ENCARGOS SOCIAIS               </t>
  </si>
  <si>
    <t xml:space="preserve">134   </t>
  </si>
  <si>
    <t xml:space="preserve">I.N.S.S.                       </t>
  </si>
  <si>
    <t xml:space="preserve">135   </t>
  </si>
  <si>
    <t xml:space="preserve">F.G.T.S                        </t>
  </si>
  <si>
    <t xml:space="preserve">136   </t>
  </si>
  <si>
    <t xml:space="preserve">OBRIGAÇÕES FISCAIS             </t>
  </si>
  <si>
    <t xml:space="preserve">137   </t>
  </si>
  <si>
    <t xml:space="preserve">I.R.R.F Pessoa juridica        </t>
  </si>
  <si>
    <t xml:space="preserve">138   </t>
  </si>
  <si>
    <t xml:space="preserve">I.R.R.F Pessoa física          </t>
  </si>
  <si>
    <t xml:space="preserve">139   </t>
  </si>
  <si>
    <t xml:space="preserve">I.R.R.F. Assalariado           </t>
  </si>
  <si>
    <t xml:space="preserve">142   </t>
  </si>
  <si>
    <t xml:space="preserve">PIS / PASEP                    </t>
  </si>
  <si>
    <t xml:space="preserve">143   </t>
  </si>
  <si>
    <t xml:space="preserve">COFINS                         </t>
  </si>
  <si>
    <t xml:space="preserve">144   </t>
  </si>
  <si>
    <t xml:space="preserve">I.S.S. Próprio                 </t>
  </si>
  <si>
    <t xml:space="preserve">145   </t>
  </si>
  <si>
    <t xml:space="preserve">I.S.S. Retido fonte            </t>
  </si>
  <si>
    <t xml:space="preserve">511   </t>
  </si>
  <si>
    <t xml:space="preserve">IRPJ A RECOLHER                </t>
  </si>
  <si>
    <t xml:space="preserve">512   </t>
  </si>
  <si>
    <t xml:space="preserve">CSLL A RECOLHER                </t>
  </si>
  <si>
    <t xml:space="preserve">627   </t>
  </si>
  <si>
    <t xml:space="preserve">I C M S                        </t>
  </si>
  <si>
    <t xml:space="preserve">147   </t>
  </si>
  <si>
    <t xml:space="preserve">CSRF (CONTR. SOCIAIS  RETIDAS  </t>
  </si>
  <si>
    <t xml:space="preserve">937   </t>
  </si>
  <si>
    <t xml:space="preserve">IRPJ ESTIMATIVA A RECOLHER     </t>
  </si>
  <si>
    <t xml:space="preserve">938   </t>
  </si>
  <si>
    <t xml:space="preserve">CSLL ESTIMATIVA  A RECOLHER    </t>
  </si>
  <si>
    <t xml:space="preserve">149   </t>
  </si>
  <si>
    <t xml:space="preserve">PROVISÕES                      </t>
  </si>
  <si>
    <t xml:space="preserve">150   </t>
  </si>
  <si>
    <t xml:space="preserve">Provisões para férias          </t>
  </si>
  <si>
    <t xml:space="preserve">151   </t>
  </si>
  <si>
    <t xml:space="preserve">Provisões I.N.S.S s/férias     </t>
  </si>
  <si>
    <t xml:space="preserve">152   </t>
  </si>
  <si>
    <t xml:space="preserve">Provisão F.G.T.S. s/férias     </t>
  </si>
  <si>
    <t xml:space="preserve">153   </t>
  </si>
  <si>
    <t xml:space="preserve">Provisões para 13º salário     </t>
  </si>
  <si>
    <t xml:space="preserve">154   </t>
  </si>
  <si>
    <t xml:space="preserve">Provisões I.N.S.S s/13º salári </t>
  </si>
  <si>
    <t xml:space="preserve">155   </t>
  </si>
  <si>
    <t xml:space="preserve">Provisões F.G.T.S. s/13º salár </t>
  </si>
  <si>
    <t xml:space="preserve">1094  </t>
  </si>
  <si>
    <t xml:space="preserve">Provisão para IRPJ             </t>
  </si>
  <si>
    <t xml:space="preserve">1095  </t>
  </si>
  <si>
    <t xml:space="preserve">Provisão para CSLL             </t>
  </si>
  <si>
    <t xml:space="preserve">157   </t>
  </si>
  <si>
    <t xml:space="preserve">325   </t>
  </si>
  <si>
    <t xml:space="preserve">Diversos caucionantes          </t>
  </si>
  <si>
    <t xml:space="preserve">158   </t>
  </si>
  <si>
    <t xml:space="preserve">ADIANTAMENTO DE CLIENTES       </t>
  </si>
  <si>
    <t xml:space="preserve">326   </t>
  </si>
  <si>
    <t xml:space="preserve">Clientes                       </t>
  </si>
  <si>
    <t xml:space="preserve">923   </t>
  </si>
  <si>
    <t xml:space="preserve">Depositos Nâo Identificados    </t>
  </si>
  <si>
    <t xml:space="preserve">432   </t>
  </si>
  <si>
    <t xml:space="preserve">OUTROS CREDORES                </t>
  </si>
  <si>
    <t xml:space="preserve">433   </t>
  </si>
  <si>
    <t xml:space="preserve">Pessoal Cedido                 </t>
  </si>
  <si>
    <t xml:space="preserve">669   </t>
  </si>
  <si>
    <t xml:space="preserve">Refinaria Abreu e Lima -Conv.8 </t>
  </si>
  <si>
    <t xml:space="preserve">159   </t>
  </si>
  <si>
    <t xml:space="preserve">OUTRAS OBRIGAÇÕES              </t>
  </si>
  <si>
    <t xml:space="preserve">160   </t>
  </si>
  <si>
    <t xml:space="preserve">Adicional tarifa portuária     </t>
  </si>
  <si>
    <t xml:space="preserve">640   </t>
  </si>
  <si>
    <t xml:space="preserve">Senai S.A                      </t>
  </si>
  <si>
    <t xml:space="preserve">722   </t>
  </si>
  <si>
    <t xml:space="preserve">Consginados Bancos (Caixa e Sa </t>
  </si>
  <si>
    <t xml:space="preserve">619   </t>
  </si>
  <si>
    <t xml:space="preserve">OBRIGAÇOES C/ACIONISTA         </t>
  </si>
  <si>
    <t xml:space="preserve">620   </t>
  </si>
  <si>
    <t xml:space="preserve">Juros Capital Proprio          </t>
  </si>
  <si>
    <t xml:space="preserve">161   </t>
  </si>
  <si>
    <t xml:space="preserve">PASSIVO NÃO CIRCULANTE         </t>
  </si>
  <si>
    <t xml:space="preserve">162   </t>
  </si>
  <si>
    <t xml:space="preserve">OBRIGAÇÕES VENCÍVEIS APÓS 01 A </t>
  </si>
  <si>
    <t xml:space="preserve">581   </t>
  </si>
  <si>
    <t xml:space="preserve">Titulos a Pagar                </t>
  </si>
  <si>
    <t xml:space="preserve">634   </t>
  </si>
  <si>
    <t xml:space="preserve">Petroleo Brasileiro - Adiant.T </t>
  </si>
  <si>
    <t xml:space="preserve">613   </t>
  </si>
  <si>
    <t xml:space="preserve">RECURSOS DA UNIAO              </t>
  </si>
  <si>
    <t xml:space="preserve">614   </t>
  </si>
  <si>
    <t xml:space="preserve">Convenios                      </t>
  </si>
  <si>
    <t xml:space="preserve">165   </t>
  </si>
  <si>
    <t xml:space="preserve">328   </t>
  </si>
  <si>
    <t xml:space="preserve">Contingencias                  </t>
  </si>
  <si>
    <t xml:space="preserve">906   </t>
  </si>
  <si>
    <t xml:space="preserve">RECEITAS DIFERIDAS             </t>
  </si>
  <si>
    <t xml:space="preserve">907   </t>
  </si>
  <si>
    <t xml:space="preserve">Petrobras Petroleo Brasileiro  </t>
  </si>
  <si>
    <t xml:space="preserve">1045  </t>
  </si>
  <si>
    <t xml:space="preserve">Subvenções Governamentais - CP </t>
  </si>
  <si>
    <t xml:space="preserve">1089  </t>
  </si>
  <si>
    <t xml:space="preserve">PASSIVOS FISCAIS DIFERIDOS     </t>
  </si>
  <si>
    <t xml:space="preserve">1090  </t>
  </si>
  <si>
    <t xml:space="preserve">Debitos Fiscais IRPJ - Dif. Te </t>
  </si>
  <si>
    <t xml:space="preserve">1091  </t>
  </si>
  <si>
    <t xml:space="preserve">Debitos Fiscais CSLL - Dif. Te </t>
  </si>
  <si>
    <t xml:space="preserve">168   </t>
  </si>
  <si>
    <t xml:space="preserve">PATRIMÔNIO LÍQUIDO             </t>
  </si>
  <si>
    <t xml:space="preserve">169   </t>
  </si>
  <si>
    <t xml:space="preserve">CAPITAL SOCIAL                 </t>
  </si>
  <si>
    <t xml:space="preserve">170   </t>
  </si>
  <si>
    <t xml:space="preserve">CAPITAL SUBSCRITO              </t>
  </si>
  <si>
    <t xml:space="preserve">171   </t>
  </si>
  <si>
    <t xml:space="preserve">Capital subscrito              </t>
  </si>
  <si>
    <t xml:space="preserve">173   </t>
  </si>
  <si>
    <t xml:space="preserve">RESERVAS DE CAPITAL            </t>
  </si>
  <si>
    <t xml:space="preserve">174   </t>
  </si>
  <si>
    <t xml:space="preserve">DOAÇÕES                        </t>
  </si>
  <si>
    <t xml:space="preserve">175   </t>
  </si>
  <si>
    <t xml:space="preserve">Doações - Principal            </t>
  </si>
  <si>
    <t xml:space="preserve">176   </t>
  </si>
  <si>
    <t xml:space="preserve">Doações - CMC (Corr. Mon. Comp </t>
  </si>
  <si>
    <t xml:space="preserve">515   </t>
  </si>
  <si>
    <t xml:space="preserve">Doações - Termope              </t>
  </si>
  <si>
    <t xml:space="preserve">565   </t>
  </si>
  <si>
    <t xml:space="preserve">Doações - Banco Real           </t>
  </si>
  <si>
    <t xml:space="preserve">1102  </t>
  </si>
  <si>
    <t xml:space="preserve">SUBVENÇÕES  GOVERNAMENTAS      </t>
  </si>
  <si>
    <t xml:space="preserve">1103  </t>
  </si>
  <si>
    <t xml:space="preserve">177   </t>
  </si>
  <si>
    <t xml:space="preserve">OUTRAS RESERVAS                </t>
  </si>
  <si>
    <t xml:space="preserve">178   </t>
  </si>
  <si>
    <t xml:space="preserve">Outras reservas de capital - P </t>
  </si>
  <si>
    <t xml:space="preserve">179   </t>
  </si>
  <si>
    <t xml:space="preserve">Outras reservas de capital - C </t>
  </si>
  <si>
    <t xml:space="preserve">1027  </t>
  </si>
  <si>
    <t xml:space="preserve">AJUSTE DE AVALIAÇÃO PATRIMONIA </t>
  </si>
  <si>
    <t xml:space="preserve">1028  </t>
  </si>
  <si>
    <t xml:space="preserve">Ajuste Avaliação Patrimonial   </t>
  </si>
  <si>
    <t xml:space="preserve">1081  </t>
  </si>
  <si>
    <t xml:space="preserve">(-) Real./ Ajuste de Avaliação </t>
  </si>
  <si>
    <t xml:space="preserve">1092  </t>
  </si>
  <si>
    <t xml:space="preserve">(-) Tributo Diferido - IRPJ    </t>
  </si>
  <si>
    <t xml:space="preserve">1093  </t>
  </si>
  <si>
    <t xml:space="preserve">(-) Tributo Diferido - CSLL    </t>
  </si>
  <si>
    <t xml:space="preserve">180   </t>
  </si>
  <si>
    <t xml:space="preserve">RECURSOS DESTINADOS A AUMENTO  </t>
  </si>
  <si>
    <t xml:space="preserve">574   </t>
  </si>
  <si>
    <t xml:space="preserve">PROVISAO P/AUMENTO DE CAPITAL  </t>
  </si>
  <si>
    <t xml:space="preserve">575   </t>
  </si>
  <si>
    <t xml:space="preserve">GOVERNO DO ESTADO DE PE        </t>
  </si>
  <si>
    <t xml:space="preserve">184   </t>
  </si>
  <si>
    <t xml:space="preserve">LUCROS OU PREJUÍZOS ACUMULADOS </t>
  </si>
  <si>
    <t xml:space="preserve">185   </t>
  </si>
  <si>
    <t xml:space="preserve">LUCROS OU PREJUIZOS ACUMULADOS </t>
  </si>
  <si>
    <t xml:space="preserve">1049  </t>
  </si>
  <si>
    <t xml:space="preserve">Prejuizos Acumulados Exerc.201 </t>
  </si>
  <si>
    <t xml:space="preserve">1087  </t>
  </si>
  <si>
    <t xml:space="preserve">Lucros Acumulados              </t>
  </si>
  <si>
    <t xml:space="preserve">1088  </t>
  </si>
  <si>
    <t xml:space="preserve">Prejuizos Acumulados           </t>
  </si>
  <si>
    <t>3</t>
  </si>
  <si>
    <t xml:space="preserve">195   </t>
  </si>
  <si>
    <t xml:space="preserve">RESULTADO DO EXERCICIO APOS C. </t>
  </si>
  <si>
    <t xml:space="preserve">196   </t>
  </si>
  <si>
    <t xml:space="preserve">RESULTADO OPERACIONAL          </t>
  </si>
  <si>
    <t xml:space="preserve">197   </t>
  </si>
  <si>
    <t xml:space="preserve">RECEITA OPERACIONAL LIQUIDA    </t>
  </si>
  <si>
    <t xml:space="preserve">198   </t>
  </si>
  <si>
    <t xml:space="preserve">RECEITA OPERACIONAL            </t>
  </si>
  <si>
    <t xml:space="preserve">199   </t>
  </si>
  <si>
    <t xml:space="preserve">Movimentação Gerais Liquido    </t>
  </si>
  <si>
    <t xml:space="preserve">200   </t>
  </si>
  <si>
    <t xml:space="preserve">Movimentação Cargas Geral      </t>
  </si>
  <si>
    <t xml:space="preserve">201   </t>
  </si>
  <si>
    <t xml:space="preserve">Serviço - Porto interno        </t>
  </si>
  <si>
    <t xml:space="preserve">202   </t>
  </si>
  <si>
    <t xml:space="preserve">Contratos Arredamento          </t>
  </si>
  <si>
    <t xml:space="preserve">965   </t>
  </si>
  <si>
    <t xml:space="preserve">Pátio Público de Veiculos      </t>
  </si>
  <si>
    <t xml:space="preserve">1067  </t>
  </si>
  <si>
    <t xml:space="preserve">Utilização de área p/Inst.de C </t>
  </si>
  <si>
    <t xml:space="preserve">205   </t>
  </si>
  <si>
    <t xml:space="preserve">(-) DEDUÇÕES DA RECEITA        </t>
  </si>
  <si>
    <t xml:space="preserve">206   </t>
  </si>
  <si>
    <t xml:space="preserve">PIS - Faturamento              </t>
  </si>
  <si>
    <t xml:space="preserve">207   </t>
  </si>
  <si>
    <t xml:space="preserve">208   </t>
  </si>
  <si>
    <t xml:space="preserve">I.S.S.                         </t>
  </si>
  <si>
    <t xml:space="preserve">332   </t>
  </si>
  <si>
    <t xml:space="preserve">Notas Fiscais Canceladas       </t>
  </si>
  <si>
    <t xml:space="preserve">547   </t>
  </si>
  <si>
    <t xml:space="preserve">Faturamento indevido           </t>
  </si>
  <si>
    <t xml:space="preserve">209   </t>
  </si>
  <si>
    <t xml:space="preserve">GASTO OPERACIONAL              </t>
  </si>
  <si>
    <t xml:space="preserve">210   </t>
  </si>
  <si>
    <t xml:space="preserve">GASTOS COM PESSOAL-ADMINISTRAD </t>
  </si>
  <si>
    <t xml:space="preserve">212   </t>
  </si>
  <si>
    <t xml:space="preserve">Salários                       </t>
  </si>
  <si>
    <t xml:space="preserve">217   </t>
  </si>
  <si>
    <t xml:space="preserve">Gratificações                  </t>
  </si>
  <si>
    <t xml:space="preserve">221   </t>
  </si>
  <si>
    <t xml:space="preserve">GASTOS COM PESSOAL - OPERACION </t>
  </si>
  <si>
    <t xml:space="preserve">222   </t>
  </si>
  <si>
    <t xml:space="preserve">Salários e ordenados           </t>
  </si>
  <si>
    <t xml:space="preserve">223   </t>
  </si>
  <si>
    <t xml:space="preserve">ABONO                          </t>
  </si>
  <si>
    <t xml:space="preserve">224   </t>
  </si>
  <si>
    <t xml:space="preserve">Férias                         </t>
  </si>
  <si>
    <t xml:space="preserve">225   </t>
  </si>
  <si>
    <t xml:space="preserve">13º Salários                   </t>
  </si>
  <si>
    <t xml:space="preserve">226   </t>
  </si>
  <si>
    <t xml:space="preserve">227   </t>
  </si>
  <si>
    <t xml:space="preserve">Indenizaçoes trabalhistas      </t>
  </si>
  <si>
    <t xml:space="preserve">228   </t>
  </si>
  <si>
    <t xml:space="preserve">229   </t>
  </si>
  <si>
    <t xml:space="preserve">F.G.T.S.                       </t>
  </si>
  <si>
    <t xml:space="preserve">230   </t>
  </si>
  <si>
    <t xml:space="preserve">Ajuda de custo                 </t>
  </si>
  <si>
    <t xml:space="preserve">231   </t>
  </si>
  <si>
    <t xml:space="preserve">Assistência médica             </t>
  </si>
  <si>
    <t xml:space="preserve">232   </t>
  </si>
  <si>
    <t xml:space="preserve">Vale-transporte                </t>
  </si>
  <si>
    <t xml:space="preserve">233   </t>
  </si>
  <si>
    <t xml:space="preserve">Programa de Alimentacao ao Tra </t>
  </si>
  <si>
    <t xml:space="preserve">235   </t>
  </si>
  <si>
    <t xml:space="preserve">Recuperação de despesas        </t>
  </si>
  <si>
    <t xml:space="preserve">702   </t>
  </si>
  <si>
    <t xml:space="preserve">Hora Extra 100%                </t>
  </si>
  <si>
    <t xml:space="preserve">703   </t>
  </si>
  <si>
    <t xml:space="preserve">AD. Noturno                    </t>
  </si>
  <si>
    <t xml:space="preserve">704   </t>
  </si>
  <si>
    <t xml:space="preserve">ADC. Insalubridade             </t>
  </si>
  <si>
    <t xml:space="preserve">705   </t>
  </si>
  <si>
    <t xml:space="preserve">ADC. Periculosidade            </t>
  </si>
  <si>
    <t xml:space="preserve">706   </t>
  </si>
  <si>
    <t xml:space="preserve">Adc P/Tempo de  Serviço        </t>
  </si>
  <si>
    <t xml:space="preserve">708   </t>
  </si>
  <si>
    <t xml:space="preserve">Atgf (Ad. tempo grat. func.) I </t>
  </si>
  <si>
    <t xml:space="preserve">709   </t>
  </si>
  <si>
    <t xml:space="preserve">Hora Extra Incorporado         </t>
  </si>
  <si>
    <t xml:space="preserve">710   </t>
  </si>
  <si>
    <t xml:space="preserve">Venct.Cargo Comissionado       </t>
  </si>
  <si>
    <t xml:space="preserve">711   </t>
  </si>
  <si>
    <t xml:space="preserve">ADC.Periculosidade Cargo Comis </t>
  </si>
  <si>
    <t xml:space="preserve">712   </t>
  </si>
  <si>
    <t xml:space="preserve">ADC.Risco de Vida              </t>
  </si>
  <si>
    <t xml:space="preserve">829   </t>
  </si>
  <si>
    <t xml:space="preserve">Auxilio Creche                 </t>
  </si>
  <si>
    <t xml:space="preserve">987   </t>
  </si>
  <si>
    <t xml:space="preserve">DSR - S/HORAS EXTRAS           </t>
  </si>
  <si>
    <t xml:space="preserve">237   </t>
  </si>
  <si>
    <t xml:space="preserve">GASTOS ADMINISTRATIVOS         </t>
  </si>
  <si>
    <t xml:space="preserve">238   </t>
  </si>
  <si>
    <t xml:space="preserve">Aluguel de veiculos            </t>
  </si>
  <si>
    <t xml:space="preserve">239   </t>
  </si>
  <si>
    <t xml:space="preserve">Energia elétrica               </t>
  </si>
  <si>
    <t xml:space="preserve">240   </t>
  </si>
  <si>
    <t xml:space="preserve">Telefones                      </t>
  </si>
  <si>
    <t xml:space="preserve">242   </t>
  </si>
  <si>
    <t xml:space="preserve">Aluguéis de equipamentos       </t>
  </si>
  <si>
    <t xml:space="preserve">243   </t>
  </si>
  <si>
    <t xml:space="preserve">Aluguéis diversos              </t>
  </si>
  <si>
    <t xml:space="preserve">244   </t>
  </si>
  <si>
    <t xml:space="preserve">Material de Consumo            </t>
  </si>
  <si>
    <t xml:space="preserve">245   </t>
  </si>
  <si>
    <t xml:space="preserve">Gêneros alimenticios           </t>
  </si>
  <si>
    <t xml:space="preserve">246   </t>
  </si>
  <si>
    <t xml:space="preserve">Meterial de expediente         </t>
  </si>
  <si>
    <t xml:space="preserve">247   </t>
  </si>
  <si>
    <t xml:space="preserve">Material de higiene e limpeza  </t>
  </si>
  <si>
    <t xml:space="preserve">248   </t>
  </si>
  <si>
    <t xml:space="preserve">Material  de reparo e  manuten </t>
  </si>
  <si>
    <t xml:space="preserve">249   </t>
  </si>
  <si>
    <t xml:space="preserve">Meterial de informática        </t>
  </si>
  <si>
    <t xml:space="preserve">250   </t>
  </si>
  <si>
    <t xml:space="preserve">Combustiveis e lubrificantes   </t>
  </si>
  <si>
    <t xml:space="preserve">251   </t>
  </si>
  <si>
    <t xml:space="preserve">Peças e acessorios de veículos </t>
  </si>
  <si>
    <t xml:space="preserve">252   </t>
  </si>
  <si>
    <t xml:space="preserve">Serv.terceiros - Manut. de Vei </t>
  </si>
  <si>
    <t xml:space="preserve">253   </t>
  </si>
  <si>
    <t xml:space="preserve">Serv. terceiros - Pessoa físic </t>
  </si>
  <si>
    <t xml:space="preserve">254   </t>
  </si>
  <si>
    <t xml:space="preserve">Serv. terceiros - Mão de obra  </t>
  </si>
  <si>
    <t xml:space="preserve">255   </t>
  </si>
  <si>
    <t xml:space="preserve">Serviços terceiros - Consultor </t>
  </si>
  <si>
    <t xml:space="preserve">256   </t>
  </si>
  <si>
    <t xml:space="preserve">Serviços terceiros -Obras, man </t>
  </si>
  <si>
    <t xml:space="preserve">257   </t>
  </si>
  <si>
    <t xml:space="preserve">Serviços terceiros - Outros    </t>
  </si>
  <si>
    <t xml:space="preserve">258   </t>
  </si>
  <si>
    <t xml:space="preserve">Depreciações                   </t>
  </si>
  <si>
    <t xml:space="preserve">259   </t>
  </si>
  <si>
    <t xml:space="preserve">Bens de pequeno custo          </t>
  </si>
  <si>
    <t xml:space="preserve">260   </t>
  </si>
  <si>
    <t xml:space="preserve">Refeições e Lanches            </t>
  </si>
  <si>
    <t xml:space="preserve">262   </t>
  </si>
  <si>
    <t xml:space="preserve">Viagens e estadias             </t>
  </si>
  <si>
    <t xml:space="preserve">263   </t>
  </si>
  <si>
    <t xml:space="preserve">Propaganda                     </t>
  </si>
  <si>
    <t xml:space="preserve">264   </t>
  </si>
  <si>
    <t xml:space="preserve">Fretes e carretos              </t>
  </si>
  <si>
    <t xml:space="preserve">265   </t>
  </si>
  <si>
    <t xml:space="preserve">Cursos e Treinamentos          </t>
  </si>
  <si>
    <t xml:space="preserve">266   </t>
  </si>
  <si>
    <t xml:space="preserve">Correios e telégrafos          </t>
  </si>
  <si>
    <t xml:space="preserve">267   </t>
  </si>
  <si>
    <t xml:space="preserve">Custa e emolumentos            </t>
  </si>
  <si>
    <t xml:space="preserve">268   </t>
  </si>
  <si>
    <t xml:space="preserve">Livros jornais e revistas      </t>
  </si>
  <si>
    <t xml:space="preserve">270   </t>
  </si>
  <si>
    <t xml:space="preserve">Impostos, taxas, e contrib. di </t>
  </si>
  <si>
    <t xml:space="preserve">272   </t>
  </si>
  <si>
    <t xml:space="preserve">Taxi                           </t>
  </si>
  <si>
    <t xml:space="preserve">273   </t>
  </si>
  <si>
    <t xml:space="preserve">EPI - Equipamento de proteção  </t>
  </si>
  <si>
    <t xml:space="preserve">274   </t>
  </si>
  <si>
    <t xml:space="preserve">Multas Diversas                </t>
  </si>
  <si>
    <t xml:space="preserve">275   </t>
  </si>
  <si>
    <t xml:space="preserve">Fardamentos                    </t>
  </si>
  <si>
    <t xml:space="preserve">276   </t>
  </si>
  <si>
    <t xml:space="preserve">Outras despesas administrativa </t>
  </si>
  <si>
    <t xml:space="preserve">426   </t>
  </si>
  <si>
    <t xml:space="preserve">Estagiarios                    </t>
  </si>
  <si>
    <t xml:space="preserve">439   </t>
  </si>
  <si>
    <t xml:space="preserve">Recuperação de Despesas        </t>
  </si>
  <si>
    <t xml:space="preserve">551   </t>
  </si>
  <si>
    <t xml:space="preserve">Amortizaçao                    </t>
  </si>
  <si>
    <t xml:space="preserve">560   </t>
  </si>
  <si>
    <t xml:space="preserve">Anuncios e Publicações         </t>
  </si>
  <si>
    <t xml:space="preserve">721   </t>
  </si>
  <si>
    <t xml:space="preserve">Inss Autonomo Recibos/Nfs.     </t>
  </si>
  <si>
    <t xml:space="preserve">912   </t>
  </si>
  <si>
    <t xml:space="preserve">Desp.de Exercicios Anteriores  </t>
  </si>
  <si>
    <t xml:space="preserve">976   </t>
  </si>
  <si>
    <t xml:space="preserve">Projetos e Estudos             </t>
  </si>
  <si>
    <t xml:space="preserve">450   </t>
  </si>
  <si>
    <t xml:space="preserve">Creditos de liquidação duvidos </t>
  </si>
  <si>
    <t xml:space="preserve">451   </t>
  </si>
  <si>
    <t xml:space="preserve">Contingencias Passivas         </t>
  </si>
  <si>
    <t xml:space="preserve">467   </t>
  </si>
  <si>
    <t xml:space="preserve">Brindes e Doaçoes              </t>
  </si>
  <si>
    <t xml:space="preserve">1033  </t>
  </si>
  <si>
    <t xml:space="preserve">Perdas em  Operações de  Credi </t>
  </si>
  <si>
    <t xml:space="preserve">1064  </t>
  </si>
  <si>
    <t xml:space="preserve">Depreciação - Convergencias Co </t>
  </si>
  <si>
    <t xml:space="preserve">490   </t>
  </si>
  <si>
    <t xml:space="preserve">Recuperaçao Pis/Cofins         </t>
  </si>
  <si>
    <t xml:space="preserve">277   </t>
  </si>
  <si>
    <t xml:space="preserve">DESPESAS TRIBUTARIAS           </t>
  </si>
  <si>
    <t xml:space="preserve">278   </t>
  </si>
  <si>
    <t xml:space="preserve">I.R.P.J.                       </t>
  </si>
  <si>
    <t xml:space="preserve">279   </t>
  </si>
  <si>
    <t xml:space="preserve">Contribuição Social            </t>
  </si>
  <si>
    <t xml:space="preserve">282   </t>
  </si>
  <si>
    <t xml:space="preserve">I.O.F.                         </t>
  </si>
  <si>
    <t xml:space="preserve">700   </t>
  </si>
  <si>
    <t xml:space="preserve">PIS                            </t>
  </si>
  <si>
    <t xml:space="preserve">701   </t>
  </si>
  <si>
    <t xml:space="preserve">448   </t>
  </si>
  <si>
    <t xml:space="preserve">(-) Reversão de provisões oper </t>
  </si>
  <si>
    <t xml:space="preserve">1086  </t>
  </si>
  <si>
    <t xml:space="preserve">Créditos de Liq.Duvidosa       </t>
  </si>
  <si>
    <t xml:space="preserve">733   </t>
  </si>
  <si>
    <t xml:space="preserve">Outras Receitas Operacioais    </t>
  </si>
  <si>
    <t xml:space="preserve">881   </t>
  </si>
  <si>
    <t xml:space="preserve">Outras receitas operacional    </t>
  </si>
  <si>
    <t xml:space="preserve">1099  </t>
  </si>
  <si>
    <t xml:space="preserve">SUBVENÇÕES GORVENAMENTAIS- CON </t>
  </si>
  <si>
    <t xml:space="preserve">1100  </t>
  </si>
  <si>
    <t xml:space="preserve">CPRH- Subvenções Realizadas    </t>
  </si>
  <si>
    <t xml:space="preserve">1101  </t>
  </si>
  <si>
    <t xml:space="preserve">CPRH - Aplicação Auxilio Morad </t>
  </si>
  <si>
    <t xml:space="preserve">285   </t>
  </si>
  <si>
    <t xml:space="preserve">RESULTADO FINANCEIRO LÍQUIDO   </t>
  </si>
  <si>
    <t xml:space="preserve">286   </t>
  </si>
  <si>
    <t xml:space="preserve">RECEITAS FINANCEIRAS           </t>
  </si>
  <si>
    <t xml:space="preserve">287   </t>
  </si>
  <si>
    <t xml:space="preserve">RECEITAS                       </t>
  </si>
  <si>
    <t xml:space="preserve">288   </t>
  </si>
  <si>
    <t xml:space="preserve">Rendimento de aplicação financ </t>
  </si>
  <si>
    <t xml:space="preserve">289   </t>
  </si>
  <si>
    <t xml:space="preserve">Descontos obtidos              </t>
  </si>
  <si>
    <t xml:space="preserve">290   </t>
  </si>
  <si>
    <t xml:space="preserve">Juros ativos                   </t>
  </si>
  <si>
    <t xml:space="preserve">329   </t>
  </si>
  <si>
    <t xml:space="preserve">Outras receitas                </t>
  </si>
  <si>
    <t xml:space="preserve">292   </t>
  </si>
  <si>
    <t xml:space="preserve">DESPESAS FINANCEIRAS           </t>
  </si>
  <si>
    <t xml:space="preserve">293   </t>
  </si>
  <si>
    <t xml:space="preserve">DESPESAS                       </t>
  </si>
  <si>
    <t xml:space="preserve">294   </t>
  </si>
  <si>
    <t xml:space="preserve">Despesas bancarias             </t>
  </si>
  <si>
    <t xml:space="preserve">295   </t>
  </si>
  <si>
    <t xml:space="preserve">Descontos concedidos           </t>
  </si>
  <si>
    <t xml:space="preserve">296   </t>
  </si>
  <si>
    <t xml:space="preserve">Juros passivos                 </t>
  </si>
  <si>
    <t xml:space="preserve">306   </t>
  </si>
  <si>
    <t xml:space="preserve">CONTAS DO ATIVO                </t>
  </si>
  <si>
    <t xml:space="preserve">307   </t>
  </si>
  <si>
    <t xml:space="preserve">COMPENSAÇÃO                    </t>
  </si>
  <si>
    <t xml:space="preserve">308   </t>
  </si>
  <si>
    <t xml:space="preserve">DIREITOS E BENS DE TERCEIROS   </t>
  </si>
  <si>
    <t xml:space="preserve">309   </t>
  </si>
  <si>
    <t xml:space="preserve">CONTRAPARTIDA DIREITOS BENS E  </t>
  </si>
  <si>
    <t xml:space="preserve">330   </t>
  </si>
  <si>
    <t xml:space="preserve">Outras                         </t>
  </si>
  <si>
    <t xml:space="preserve">310   </t>
  </si>
  <si>
    <t xml:space="preserve">CONTAS DO PASSIVO              </t>
  </si>
  <si>
    <t xml:space="preserve">311   </t>
  </si>
  <si>
    <t xml:space="preserve">312   </t>
  </si>
  <si>
    <t xml:space="preserve">313   </t>
  </si>
  <si>
    <t xml:space="preserve">331   </t>
  </si>
  <si>
    <t>Agrupamento BP/DRE</t>
  </si>
  <si>
    <t>Agrupamento DVA</t>
  </si>
  <si>
    <t>Incorporação de bens</t>
  </si>
  <si>
    <t>Saldos em 31 de dezembro de 2014</t>
  </si>
  <si>
    <t>Nota Explicativa</t>
  </si>
  <si>
    <t>I155</t>
  </si>
  <si>
    <t>D</t>
  </si>
  <si>
    <t>C</t>
  </si>
  <si>
    <t>LUCRO BRUTO</t>
  </si>
  <si>
    <t>(Reversão) Provisão para contingências</t>
  </si>
  <si>
    <t>Provisão (reversão) de créditos fiscais</t>
  </si>
  <si>
    <t>Lucro líquido do exercício</t>
  </si>
  <si>
    <t>Outros resultados abrangentes</t>
  </si>
  <si>
    <t>CUSTOS DOS SERVIÇOS PRESTADOS</t>
  </si>
  <si>
    <t xml:space="preserve">Pessoal </t>
  </si>
  <si>
    <t xml:space="preserve">Serviços de terceiros </t>
  </si>
  <si>
    <t xml:space="preserve">Aluguéis </t>
  </si>
  <si>
    <t xml:space="preserve">Depreciações e amortizações </t>
  </si>
  <si>
    <t xml:space="preserve">Gerais e outros </t>
  </si>
  <si>
    <t>31.12.2016</t>
  </si>
  <si>
    <t>Acumulado</t>
  </si>
  <si>
    <t>CAIXA E EQUIVALENTES DE CAIXA NO INÍCIO DO PERÍODO/EXERCÍCIO</t>
  </si>
  <si>
    <t>CAIXA E EQUIVALENTES DE CAIXA NO FIM DO PERÍODO/EXERCÍCIO</t>
  </si>
  <si>
    <t>Arredondamento</t>
  </si>
  <si>
    <t>Período atual</t>
  </si>
  <si>
    <t>Trimestre anterior</t>
  </si>
  <si>
    <t>Exercício anterior</t>
  </si>
  <si>
    <t>Diferenças</t>
  </si>
  <si>
    <t>Ativo x Passivo</t>
  </si>
  <si>
    <t>Atual</t>
  </si>
  <si>
    <t>Anterior</t>
  </si>
  <si>
    <t>Ex Anterior</t>
  </si>
  <si>
    <t>DMPL</t>
  </si>
  <si>
    <t>DFC</t>
  </si>
  <si>
    <t>INDICADORES DE DESEMPENHO</t>
  </si>
  <si>
    <t xml:space="preserve"> </t>
  </si>
  <si>
    <t>ÍNDICES</t>
  </si>
  <si>
    <t>LIQUIDEZ IMEDIATA</t>
  </si>
  <si>
    <t>Passivo circulante</t>
  </si>
  <si>
    <t>LIQUIDEZ CORRENTE</t>
  </si>
  <si>
    <t>Ativo circulante</t>
  </si>
  <si>
    <t>LIQUIDEZ SECA</t>
  </si>
  <si>
    <t>Ativo circulante - Estoques</t>
  </si>
  <si>
    <t>LIQUIDEZ GERAL</t>
  </si>
  <si>
    <t>Ativo circulante + Realizável a Longo Prazo</t>
  </si>
  <si>
    <t>Exigível total - Recursos da União</t>
  </si>
  <si>
    <t>SOLVÊNCIA GERAL</t>
  </si>
  <si>
    <t>Ativo total</t>
  </si>
  <si>
    <t>Exigível total</t>
  </si>
  <si>
    <t>ENDIVIDAMENTO GERAL</t>
  </si>
  <si>
    <t>Exigível total  -Recursos da União</t>
  </si>
  <si>
    <t>RENTABILIDADE DO PATRIMÔNIO LÍQUIDO</t>
  </si>
  <si>
    <t>Lucro (Prejuízo) líquido</t>
  </si>
  <si>
    <t>X 100</t>
  </si>
  <si>
    <t>Patrimônio líquido</t>
  </si>
  <si>
    <t>MARGEM OPERACIONAL DE LUCRO</t>
  </si>
  <si>
    <t>Lucro operacional</t>
  </si>
  <si>
    <t>Receita operacional líquida</t>
  </si>
  <si>
    <t>MARGEM LÍQUIDA DE LUCRO</t>
  </si>
  <si>
    <t>RENTABILIDADE DOS INVESTIMENTOS</t>
  </si>
  <si>
    <t>RELAÇÃO ENTRE AS FONTES DE RECURSOS</t>
  </si>
  <si>
    <t>ENDIVIDAMENTO DO ATIVO IMOBILIZADO E INTANGÍVEL</t>
  </si>
  <si>
    <t>Ativo imobilizado e intangível</t>
  </si>
  <si>
    <t>Em</t>
  </si>
  <si>
    <t>Milhares</t>
  </si>
  <si>
    <t>Em :</t>
  </si>
  <si>
    <t>Reais</t>
  </si>
  <si>
    <t>[Saldo Final]</t>
  </si>
  <si>
    <t>[Saldo Final em Mil]</t>
  </si>
  <si>
    <t>Saldo Selecionado</t>
  </si>
  <si>
    <t>Divisor selecionado</t>
  </si>
  <si>
    <t>Texto selecionado</t>
  </si>
  <si>
    <t>Decimais</t>
  </si>
  <si>
    <t>(em reais)</t>
  </si>
  <si>
    <t>Contas 2018</t>
  </si>
  <si>
    <t>Contas 2017</t>
  </si>
  <si>
    <t>Ajuste</t>
  </si>
  <si>
    <t>Receita da venda de bens</t>
  </si>
  <si>
    <t>Ganho de capital na alienação de bens</t>
  </si>
  <si>
    <t>Ajuste:</t>
  </si>
  <si>
    <t>Lucros
Acumulados</t>
  </si>
  <si>
    <t>Estudos e projetos</t>
  </si>
  <si>
    <t>Lucros acumulados</t>
  </si>
  <si>
    <t>CPF nº 027.282.864-50</t>
  </si>
  <si>
    <t>Dilermano Alves de Brito</t>
  </si>
  <si>
    <t>RESULTADO ABRANGENTE DO PERÍODO</t>
  </si>
  <si>
    <t>DO PERÍODO FINDO EM 30 DE SETEMBRO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</si>
</sst>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"/>
    <numFmt numFmtId="167" formatCode="_-&quot;R$&quot;\ * #,##0_-;\-&quot;R$&quot;\ * #,##0_-;_-&quot;R$&quot;\ * &quot;-&quot;??_-;_-@_-"/>
    <numFmt numFmtId="168" formatCode="_(* #,##0.0000_);_(* \(#,##0.0000\);_(* &quot;-&quot;??_);_(@_)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eorgia"/>
      <family val="1"/>
    </font>
    <font>
      <sz val="9"/>
      <color theme="1"/>
      <name val="Calibri"/>
      <family val="2"/>
      <scheme val="minor"/>
    </font>
    <font>
      <sz val="9"/>
      <color theme="1"/>
      <name val="Cambria"/>
      <family val="1"/>
      <scheme val="maj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Times New Roman"/>
      <family val="1"/>
    </font>
    <font>
      <sz val="8"/>
      <name val="Times New Roman"/>
      <family val="1"/>
    </font>
    <font>
      <b/>
      <sz val="14"/>
      <name val="Bookman Old Style"/>
      <family val="1"/>
    </font>
    <font>
      <b/>
      <sz val="8"/>
      <name val="Bookman Old Style"/>
      <family val="1"/>
    </font>
    <font>
      <b/>
      <sz val="18"/>
      <name val="Georgia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name val="Calibri"/>
      <family val="2"/>
      <scheme val="minor"/>
    </font>
    <font>
      <sz val="7"/>
      <color theme="1"/>
      <name val="Calibri"/>
      <family val="2"/>
      <scheme val="minor"/>
    </font>
    <font>
      <sz val="3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mbria"/>
      <family val="1"/>
    </font>
    <font>
      <b/>
      <sz val="9"/>
      <color theme="1"/>
      <name val="Cambria"/>
      <family val="1"/>
    </font>
    <font>
      <sz val="3"/>
      <color theme="1"/>
      <name val="Cambria"/>
      <family val="1"/>
    </font>
    <font>
      <sz val="11"/>
      <color theme="1"/>
      <name val="Segoe U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sz val="3"/>
      <color theme="1"/>
      <name val="Segoe UI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name val="Cambria"/>
      <family val="2"/>
      <scheme val="major"/>
    </font>
    <font>
      <sz val="11"/>
      <name val="Cambria"/>
      <family val="2"/>
      <scheme val="major"/>
    </font>
    <font>
      <sz val="10"/>
      <name val="Cambria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23">
    <xf numFmtId="0" fontId="0" fillId="0" borderId="0" xfId="0"/>
    <xf numFmtId="164" fontId="0" fillId="0" borderId="0" xfId="1" applyFont="1"/>
    <xf numFmtId="165" fontId="0" fillId="0" borderId="0" xfId="1" applyNumberFormat="1" applyFont="1"/>
    <xf numFmtId="164" fontId="3" fillId="0" borderId="0" xfId="1" applyFont="1"/>
    <xf numFmtId="0" fontId="4" fillId="0" borderId="0" xfId="0" applyFont="1"/>
    <xf numFmtId="0" fontId="6" fillId="0" borderId="0" xfId="2" applyFont="1"/>
    <xf numFmtId="0" fontId="6" fillId="2" borderId="5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3" fillId="0" borderId="0" xfId="0" applyFont="1"/>
    <xf numFmtId="165" fontId="3" fillId="0" borderId="0" xfId="1" applyNumberFormat="1" applyFont="1"/>
    <xf numFmtId="4" fontId="0" fillId="0" borderId="0" xfId="0" applyNumberFormat="1"/>
    <xf numFmtId="0" fontId="10" fillId="0" borderId="0" xfId="7" applyFont="1" applyAlignment="1">
      <alignment horizontal="center"/>
    </xf>
    <xf numFmtId="0" fontId="9" fillId="0" borderId="0" xfId="7"/>
    <xf numFmtId="0" fontId="11" fillId="0" borderId="0" xfId="7" applyFont="1" applyAlignment="1">
      <alignment horizontal="center"/>
    </xf>
    <xf numFmtId="165" fontId="0" fillId="0" borderId="0" xfId="0" applyNumberFormat="1"/>
    <xf numFmtId="0" fontId="14" fillId="0" borderId="0" xfId="0" applyFont="1"/>
    <xf numFmtId="0" fontId="15" fillId="0" borderId="0" xfId="0" applyFont="1"/>
    <xf numFmtId="165" fontId="16" fillId="0" borderId="0" xfId="1" applyNumberFormat="1" applyFont="1"/>
    <xf numFmtId="164" fontId="16" fillId="0" borderId="0" xfId="1" applyFont="1"/>
    <xf numFmtId="0" fontId="16" fillId="0" borderId="0" xfId="0" applyFont="1"/>
    <xf numFmtId="0" fontId="14" fillId="0" borderId="0" xfId="0" applyFont="1" applyAlignment="1">
      <alignment horizontal="left" indent="1"/>
    </xf>
    <xf numFmtId="0" fontId="16" fillId="0" borderId="0" xfId="0" applyFont="1" applyAlignment="1">
      <alignment horizontal="left" indent="2"/>
    </xf>
    <xf numFmtId="0" fontId="14" fillId="0" borderId="0" xfId="0" applyFont="1" applyAlignment="1">
      <alignment horizontal="left" indent="2"/>
    </xf>
    <xf numFmtId="165" fontId="14" fillId="0" borderId="0" xfId="1" applyNumberFormat="1" applyFont="1"/>
    <xf numFmtId="165" fontId="14" fillId="0" borderId="1" xfId="1" applyNumberFormat="1" applyFont="1" applyBorder="1"/>
    <xf numFmtId="0" fontId="16" fillId="0" borderId="0" xfId="0" applyFont="1" applyAlignment="1">
      <alignment horizontal="left" indent="3"/>
    </xf>
    <xf numFmtId="165" fontId="16" fillId="0" borderId="1" xfId="1" applyNumberFormat="1" applyFont="1" applyBorder="1"/>
    <xf numFmtId="0" fontId="17" fillId="0" borderId="0" xfId="0" applyFont="1"/>
    <xf numFmtId="165" fontId="14" fillId="0" borderId="2" xfId="1" applyNumberFormat="1" applyFont="1" applyBorder="1"/>
    <xf numFmtId="165" fontId="15" fillId="0" borderId="0" xfId="0" applyNumberFormat="1" applyFont="1"/>
    <xf numFmtId="165" fontId="15" fillId="0" borderId="0" xfId="1" applyNumberFormat="1" applyFont="1"/>
    <xf numFmtId="164" fontId="15" fillId="0" borderId="0" xfId="1" applyFont="1"/>
    <xf numFmtId="0" fontId="16" fillId="0" borderId="0" xfId="0" applyFont="1" applyAlignment="1">
      <alignment horizontal="left" indent="1"/>
    </xf>
    <xf numFmtId="165" fontId="16" fillId="0" borderId="3" xfId="1" applyNumberFormat="1" applyFont="1" applyBorder="1"/>
    <xf numFmtId="0" fontId="14" fillId="0" borderId="0" xfId="0" applyFont="1" applyAlignment="1">
      <alignment horizontal="left"/>
    </xf>
    <xf numFmtId="164" fontId="13" fillId="0" borderId="0" xfId="1" applyFont="1"/>
    <xf numFmtId="165" fontId="4" fillId="0" borderId="0" xfId="0" applyNumberFormat="1" applyFont="1"/>
    <xf numFmtId="0" fontId="2" fillId="0" borderId="0" xfId="0" applyFont="1" applyAlignment="1">
      <alignment horizontal="center"/>
    </xf>
    <xf numFmtId="165" fontId="16" fillId="0" borderId="3" xfId="1" applyNumberFormat="1" applyFont="1" applyBorder="1" applyAlignment="1">
      <alignment horizontal="center" vertical="center" wrapText="1"/>
    </xf>
    <xf numFmtId="164" fontId="16" fillId="0" borderId="3" xfId="1" applyFont="1" applyBorder="1" applyAlignment="1">
      <alignment horizontal="center" wrapText="1"/>
    </xf>
    <xf numFmtId="164" fontId="14" fillId="0" borderId="3" xfId="1" applyFont="1" applyBorder="1" applyAlignment="1">
      <alignment horizontal="center" vertical="center"/>
    </xf>
    <xf numFmtId="165" fontId="14" fillId="0" borderId="0" xfId="1" applyNumberFormat="1" applyFont="1" applyAlignment="1">
      <alignment horizontal="center"/>
    </xf>
    <xf numFmtId="165" fontId="16" fillId="0" borderId="0" xfId="1" applyNumberFormat="1" applyFont="1" applyAlignment="1">
      <alignment horizontal="center"/>
    </xf>
    <xf numFmtId="0" fontId="16" fillId="0" borderId="0" xfId="0" quotePrefix="1" applyFont="1" applyAlignment="1">
      <alignment horizontal="left" indent="1"/>
    </xf>
    <xf numFmtId="165" fontId="14" fillId="0" borderId="6" xfId="1" applyNumberFormat="1" applyFont="1" applyBorder="1" applyAlignment="1">
      <alignment horizontal="center"/>
    </xf>
    <xf numFmtId="165" fontId="16" fillId="0" borderId="0" xfId="0" applyNumberFormat="1" applyFont="1"/>
    <xf numFmtId="0" fontId="16" fillId="0" borderId="0" xfId="0" applyFont="1" applyAlignment="1">
      <alignment horizontal="left"/>
    </xf>
    <xf numFmtId="164" fontId="14" fillId="0" borderId="0" xfId="1" applyFont="1"/>
    <xf numFmtId="164" fontId="19" fillId="0" borderId="0" xfId="1" applyFont="1"/>
    <xf numFmtId="164" fontId="19" fillId="3" borderId="0" xfId="1" applyFont="1" applyFill="1"/>
    <xf numFmtId="0" fontId="0" fillId="3" borderId="0" xfId="0" applyFill="1"/>
    <xf numFmtId="4" fontId="0" fillId="3" borderId="0" xfId="0" applyNumberFormat="1" applyFill="1"/>
    <xf numFmtId="0" fontId="0" fillId="0" borderId="0" xfId="0" applyAlignment="1">
      <alignment horizontal="left"/>
    </xf>
    <xf numFmtId="4" fontId="16" fillId="0" borderId="0" xfId="0" applyNumberFormat="1" applyFont="1"/>
    <xf numFmtId="43" fontId="15" fillId="0" borderId="0" xfId="0" applyNumberFormat="1" applyFont="1"/>
    <xf numFmtId="165" fontId="14" fillId="0" borderId="3" xfId="1" applyNumberFormat="1" applyFont="1" applyBorder="1"/>
    <xf numFmtId="0" fontId="14" fillId="0" borderId="3" xfId="0" quotePrefix="1" applyFont="1" applyBorder="1" applyAlignment="1">
      <alignment horizontal="center"/>
    </xf>
    <xf numFmtId="165" fontId="21" fillId="0" borderId="0" xfId="1" applyNumberFormat="1" applyFont="1"/>
    <xf numFmtId="0" fontId="21" fillId="0" borderId="0" xfId="0" applyFont="1"/>
    <xf numFmtId="164" fontId="21" fillId="0" borderId="0" xfId="1" applyFont="1"/>
    <xf numFmtId="9" fontId="16" fillId="0" borderId="0" xfId="8" applyFont="1"/>
    <xf numFmtId="0" fontId="21" fillId="0" borderId="0" xfId="0" applyFont="1" applyAlignment="1">
      <alignment horizontal="center"/>
    </xf>
    <xf numFmtId="164" fontId="22" fillId="0" borderId="0" xfId="1" applyFont="1"/>
    <xf numFmtId="43" fontId="0" fillId="0" borderId="0" xfId="0" applyNumberFormat="1"/>
    <xf numFmtId="165" fontId="16" fillId="0" borderId="3" xfId="1" applyNumberFormat="1" applyFont="1" applyBorder="1" applyAlignment="1">
      <alignment horizontal="center"/>
    </xf>
    <xf numFmtId="0" fontId="0" fillId="0" borderId="0" xfId="0" applyAlignment="1">
      <alignment wrapText="1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justify" vertical="center" wrapText="1"/>
    </xf>
    <xf numFmtId="0" fontId="24" fillId="0" borderId="7" xfId="0" applyFont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justify" vertical="center" wrapText="1"/>
    </xf>
    <xf numFmtId="3" fontId="25" fillId="0" borderId="2" xfId="0" applyNumberFormat="1" applyFont="1" applyBorder="1" applyAlignment="1">
      <alignment horizontal="right" vertical="center"/>
    </xf>
    <xf numFmtId="0" fontId="25" fillId="0" borderId="0" xfId="0" applyFont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165" fontId="3" fillId="0" borderId="0" xfId="1" applyNumberFormat="1" applyFont="1" applyAlignment="1">
      <alignment horizontal="right" vertical="center"/>
    </xf>
    <xf numFmtId="165" fontId="24" fillId="0" borderId="7" xfId="1" applyNumberFormat="1" applyFont="1" applyBorder="1" applyAlignment="1">
      <alignment horizontal="right" vertical="center"/>
    </xf>
    <xf numFmtId="165" fontId="25" fillId="0" borderId="2" xfId="1" applyNumberFormat="1" applyFont="1" applyBorder="1" applyAlignment="1">
      <alignment horizontal="right" vertical="center"/>
    </xf>
    <xf numFmtId="3" fontId="0" fillId="0" borderId="0" xfId="0" applyNumberFormat="1"/>
    <xf numFmtId="0" fontId="28" fillId="0" borderId="0" xfId="0" applyFont="1" applyAlignment="1">
      <alignment horizontal="justify" vertical="center" wrapText="1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horizontal="justify" vertical="center" wrapText="1"/>
    </xf>
    <xf numFmtId="3" fontId="27" fillId="0" borderId="2" xfId="0" applyNumberFormat="1" applyFont="1" applyBorder="1" applyAlignment="1">
      <alignment horizontal="right" vertical="center" wrapText="1"/>
    </xf>
    <xf numFmtId="0" fontId="27" fillId="0" borderId="0" xfId="0" applyFont="1" applyAlignment="1">
      <alignment horizontal="right" vertical="center" wrapText="1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 indent="1"/>
    </xf>
    <xf numFmtId="0" fontId="24" fillId="0" borderId="7" xfId="0" applyFont="1" applyBorder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24" fillId="0" borderId="0" xfId="0" applyFont="1" applyAlignment="1">
      <alignment horizontal="left" vertical="center" wrapText="1"/>
    </xf>
    <xf numFmtId="3" fontId="25" fillId="0" borderId="2" xfId="0" applyNumberFormat="1" applyFont="1" applyBorder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5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horizontal="right" vertical="center" wrapText="1"/>
    </xf>
    <xf numFmtId="1" fontId="3" fillId="0" borderId="0" xfId="0" applyNumberFormat="1" applyFont="1" applyAlignment="1">
      <alignment horizontal="right" vertical="center" wrapText="1"/>
    </xf>
    <xf numFmtId="165" fontId="26" fillId="0" borderId="0" xfId="1" applyNumberFormat="1" applyFont="1" applyAlignment="1">
      <alignment horizontal="right" vertical="center" wrapText="1"/>
    </xf>
    <xf numFmtId="165" fontId="26" fillId="0" borderId="0" xfId="1" applyNumberFormat="1" applyFont="1" applyAlignment="1">
      <alignment horizontal="left" vertical="center" wrapText="1"/>
    </xf>
    <xf numFmtId="165" fontId="28" fillId="0" borderId="7" xfId="1" applyNumberFormat="1" applyFont="1" applyBorder="1" applyAlignment="1">
      <alignment horizontal="right" vertical="center" wrapText="1"/>
    </xf>
    <xf numFmtId="165" fontId="28" fillId="0" borderId="0" xfId="1" applyNumberFormat="1" applyFont="1" applyAlignment="1">
      <alignment horizontal="right" vertical="center" wrapText="1"/>
    </xf>
    <xf numFmtId="165" fontId="28" fillId="0" borderId="0" xfId="1" applyNumberFormat="1" applyFont="1" applyAlignment="1">
      <alignment horizontal="left" vertical="center" wrapText="1"/>
    </xf>
    <xf numFmtId="0" fontId="18" fillId="0" borderId="0" xfId="0" applyFont="1"/>
    <xf numFmtId="0" fontId="0" fillId="0" borderId="10" xfId="0" applyBorder="1"/>
    <xf numFmtId="0" fontId="4" fillId="0" borderId="8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7" xfId="0" applyBorder="1"/>
    <xf numFmtId="0" fontId="0" fillId="0" borderId="15" xfId="0" applyBorder="1"/>
    <xf numFmtId="0" fontId="0" fillId="0" borderId="8" xfId="0" applyBorder="1"/>
    <xf numFmtId="0" fontId="0" fillId="0" borderId="11" xfId="0" applyBorder="1"/>
    <xf numFmtId="0" fontId="4" fillId="0" borderId="15" xfId="0" applyFont="1" applyBorder="1"/>
    <xf numFmtId="165" fontId="4" fillId="0" borderId="0" xfId="1" applyNumberFormat="1" applyFont="1" applyAlignment="1">
      <alignment horizontal="center"/>
    </xf>
    <xf numFmtId="0" fontId="14" fillId="0" borderId="0" xfId="0" quotePrefix="1" applyFont="1" applyAlignment="1">
      <alignment horizontal="center"/>
    </xf>
    <xf numFmtId="164" fontId="16" fillId="0" borderId="3" xfId="1" applyFont="1" applyBorder="1"/>
    <xf numFmtId="0" fontId="18" fillId="0" borderId="3" xfId="0" applyFont="1" applyBorder="1" applyAlignment="1">
      <alignment horizontal="center"/>
    </xf>
    <xf numFmtId="165" fontId="14" fillId="0" borderId="3" xfId="1" applyNumberFormat="1" applyFont="1" applyBorder="1" applyAlignment="1">
      <alignment horizontal="center"/>
    </xf>
    <xf numFmtId="4" fontId="13" fillId="0" borderId="0" xfId="0" applyNumberFormat="1" applyFont="1"/>
    <xf numFmtId="0" fontId="29" fillId="0" borderId="0" xfId="0" applyFont="1"/>
    <xf numFmtId="0" fontId="32" fillId="0" borderId="0" xfId="0" applyFont="1" applyAlignment="1">
      <alignment horizontal="justify" vertical="center"/>
    </xf>
    <xf numFmtId="0" fontId="32" fillId="0" borderId="7" xfId="0" applyFont="1" applyBorder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1" fillId="0" borderId="0" xfId="0" applyFont="1" applyAlignment="1">
      <alignment horizontal="justify" vertical="center"/>
    </xf>
    <xf numFmtId="0" fontId="31" fillId="0" borderId="0" xfId="0" applyFont="1" applyAlignment="1">
      <alignment horizontal="right" vertical="center"/>
    </xf>
    <xf numFmtId="3" fontId="31" fillId="0" borderId="2" xfId="0" applyNumberFormat="1" applyFont="1" applyBorder="1" applyAlignment="1">
      <alignment horizontal="right" vertical="center"/>
    </xf>
    <xf numFmtId="164" fontId="30" fillId="0" borderId="0" xfId="1" applyFont="1" applyAlignment="1">
      <alignment horizontal="right" vertical="center"/>
    </xf>
    <xf numFmtId="164" fontId="30" fillId="0" borderId="0" xfId="1" applyFont="1" applyAlignment="1">
      <alignment horizontal="left" vertical="center"/>
    </xf>
    <xf numFmtId="164" fontId="30" fillId="0" borderId="0" xfId="1" applyFont="1" applyAlignment="1">
      <alignment horizontal="center" vertical="center"/>
    </xf>
    <xf numFmtId="165" fontId="30" fillId="0" borderId="0" xfId="1" applyNumberFormat="1" applyFont="1" applyAlignment="1">
      <alignment horizontal="right" vertical="center"/>
    </xf>
    <xf numFmtId="165" fontId="31" fillId="0" borderId="2" xfId="0" applyNumberFormat="1" applyFont="1" applyBorder="1" applyAlignment="1">
      <alignment horizontal="right" vertical="center"/>
    </xf>
    <xf numFmtId="165" fontId="31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right" vertical="center" wrapText="1"/>
    </xf>
    <xf numFmtId="3" fontId="26" fillId="0" borderId="0" xfId="0" applyNumberFormat="1" applyFont="1" applyAlignment="1">
      <alignment horizontal="right" vertical="center" wrapText="1"/>
    </xf>
    <xf numFmtId="0" fontId="28" fillId="0" borderId="7" xfId="0" applyFont="1" applyBorder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0" fontId="28" fillId="0" borderId="0" xfId="0" applyFont="1" applyAlignment="1">
      <alignment horizontal="left" vertical="center" wrapText="1"/>
    </xf>
    <xf numFmtId="0" fontId="27" fillId="0" borderId="2" xfId="0" applyFont="1" applyBorder="1" applyAlignment="1">
      <alignment horizontal="right" vertical="center" wrapText="1"/>
    </xf>
    <xf numFmtId="165" fontId="27" fillId="0" borderId="2" xfId="0" applyNumberFormat="1" applyFont="1" applyBorder="1" applyAlignment="1">
      <alignment horizontal="right" vertical="center" wrapText="1"/>
    </xf>
    <xf numFmtId="165" fontId="26" fillId="0" borderId="0" xfId="0" applyNumberFormat="1" applyFont="1" applyAlignment="1">
      <alignment horizontal="right" vertical="center" wrapText="1"/>
    </xf>
    <xf numFmtId="0" fontId="27" fillId="0" borderId="2" xfId="0" applyFont="1" applyBorder="1" applyAlignment="1">
      <alignment horizontal="justify" vertical="center" wrapText="1"/>
    </xf>
    <xf numFmtId="0" fontId="4" fillId="0" borderId="0" xfId="1" applyNumberFormat="1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top"/>
    </xf>
    <xf numFmtId="0" fontId="18" fillId="0" borderId="0" xfId="0" applyFont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6" fillId="0" borderId="0" xfId="0" applyFont="1" applyAlignment="1">
      <alignment horizontal="justify" vertical="center" wrapText="1"/>
    </xf>
    <xf numFmtId="0" fontId="31" fillId="0" borderId="8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0" fillId="0" borderId="0" xfId="0" applyFont="1" applyAlignment="1">
      <alignment horizontal="justify" vertical="center"/>
    </xf>
    <xf numFmtId="0" fontId="31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165" fontId="16" fillId="3" borderId="0" xfId="1" applyNumberFormat="1" applyFont="1" applyFill="1" applyAlignment="1">
      <alignment horizontal="center"/>
    </xf>
    <xf numFmtId="165" fontId="29" fillId="0" borderId="0" xfId="0" applyNumberFormat="1" applyFont="1"/>
    <xf numFmtId="14" fontId="14" fillId="0" borderId="3" xfId="0" applyNumberFormat="1" applyFont="1" applyBorder="1" applyAlignment="1">
      <alignment horizontal="center"/>
    </xf>
    <xf numFmtId="4" fontId="16" fillId="3" borderId="0" xfId="0" applyNumberFormat="1" applyFont="1" applyFill="1"/>
    <xf numFmtId="14" fontId="0" fillId="0" borderId="0" xfId="0" applyNumberFormat="1"/>
    <xf numFmtId="0" fontId="0" fillId="0" borderId="16" xfId="0" applyBorder="1"/>
    <xf numFmtId="14" fontId="0" fillId="0" borderId="16" xfId="0" applyNumberFormat="1" applyBorder="1"/>
    <xf numFmtId="0" fontId="0" fillId="2" borderId="16" xfId="0" applyFill="1" applyBorder="1"/>
    <xf numFmtId="164" fontId="0" fillId="0" borderId="16" xfId="1" applyFont="1" applyBorder="1"/>
    <xf numFmtId="14" fontId="0" fillId="0" borderId="16" xfId="0" applyNumberFormat="1" applyBorder="1" applyAlignment="1">
      <alignment horizontal="center"/>
    </xf>
    <xf numFmtId="14" fontId="0" fillId="4" borderId="16" xfId="0" applyNumberFormat="1" applyFill="1" applyBorder="1" applyAlignment="1">
      <alignment horizontal="center"/>
    </xf>
    <xf numFmtId="0" fontId="16" fillId="3" borderId="17" xfId="0" applyFont="1" applyFill="1" applyBorder="1"/>
    <xf numFmtId="165" fontId="0" fillId="3" borderId="11" xfId="0" applyNumberForma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7" xfId="0" applyBorder="1"/>
    <xf numFmtId="0" fontId="36" fillId="0" borderId="0" xfId="0" applyFont="1"/>
    <xf numFmtId="167" fontId="0" fillId="0" borderId="0" xfId="0" applyNumberFormat="1"/>
    <xf numFmtId="0" fontId="36" fillId="0" borderId="12" xfId="0" applyFont="1" applyBorder="1"/>
    <xf numFmtId="4" fontId="36" fillId="0" borderId="0" xfId="10" applyNumberFormat="1" applyFont="1" applyAlignment="1">
      <alignment horizontal="center"/>
    </xf>
    <xf numFmtId="0" fontId="36" fillId="0" borderId="13" xfId="0" applyFont="1" applyBorder="1"/>
    <xf numFmtId="0" fontId="36" fillId="0" borderId="12" xfId="0" applyFont="1" applyBorder="1" applyAlignment="1">
      <alignment horizontal="left" vertical="center"/>
    </xf>
    <xf numFmtId="14" fontId="35" fillId="0" borderId="3" xfId="10" applyNumberFormat="1" applyFont="1" applyBorder="1" applyAlignment="1" applyProtection="1">
      <alignment horizontal="center" vertical="center"/>
      <protection hidden="1"/>
    </xf>
    <xf numFmtId="0" fontId="36" fillId="0" borderId="13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1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5" fillId="0" borderId="6" xfId="0" applyFont="1" applyBorder="1" applyAlignment="1">
      <alignment horizontal="left" indent="1"/>
    </xf>
    <xf numFmtId="0" fontId="36" fillId="0" borderId="6" xfId="0" applyFont="1" applyBorder="1"/>
    <xf numFmtId="4" fontId="36" fillId="0" borderId="6" xfId="10" applyNumberFormat="1" applyFont="1" applyBorder="1" applyAlignment="1">
      <alignment horizontal="center"/>
    </xf>
    <xf numFmtId="0" fontId="37" fillId="0" borderId="0" xfId="0" applyFont="1"/>
    <xf numFmtId="167" fontId="0" fillId="0" borderId="3" xfId="9" applyNumberFormat="1" applyFont="1" applyBorder="1"/>
    <xf numFmtId="0" fontId="36" fillId="0" borderId="20" xfId="0" applyFont="1" applyBorder="1"/>
    <xf numFmtId="0" fontId="37" fillId="0" borderId="20" xfId="0" applyFont="1" applyBorder="1"/>
    <xf numFmtId="167" fontId="0" fillId="0" borderId="0" xfId="9" applyNumberFormat="1" applyFont="1"/>
    <xf numFmtId="0" fontId="35" fillId="0" borderId="0" xfId="0" applyFont="1" applyAlignment="1" applyProtection="1">
      <alignment horizontal="left" indent="1"/>
      <protection hidden="1"/>
    </xf>
    <xf numFmtId="0" fontId="36" fillId="0" borderId="0" xfId="0" applyFont="1" applyProtection="1">
      <protection hidden="1"/>
    </xf>
    <xf numFmtId="0" fontId="37" fillId="0" borderId="0" xfId="0" applyFont="1" applyProtection="1">
      <protection hidden="1"/>
    </xf>
    <xf numFmtId="2" fontId="37" fillId="0" borderId="0" xfId="0" applyNumberFormat="1" applyFont="1" applyProtection="1">
      <protection hidden="1"/>
    </xf>
    <xf numFmtId="0" fontId="36" fillId="0" borderId="20" xfId="0" applyFont="1" applyBorder="1" applyProtection="1">
      <protection hidden="1"/>
    </xf>
    <xf numFmtId="0" fontId="37" fillId="0" borderId="20" xfId="0" applyFont="1" applyBorder="1" applyProtection="1">
      <protection hidden="1"/>
    </xf>
    <xf numFmtId="0" fontId="35" fillId="0" borderId="22" xfId="0" applyFont="1" applyBorder="1" applyAlignment="1" applyProtection="1">
      <alignment horizontal="left" indent="1"/>
      <protection hidden="1"/>
    </xf>
    <xf numFmtId="0" fontId="36" fillId="0" borderId="22" xfId="0" applyFont="1" applyBorder="1" applyProtection="1">
      <protection hidden="1"/>
    </xf>
    <xf numFmtId="0" fontId="37" fillId="0" borderId="22" xfId="0" applyFont="1" applyBorder="1" applyProtection="1">
      <protection hidden="1"/>
    </xf>
    <xf numFmtId="2" fontId="37" fillId="0" borderId="22" xfId="0" applyNumberFormat="1" applyFont="1" applyBorder="1" applyProtection="1">
      <protection hidden="1"/>
    </xf>
    <xf numFmtId="4" fontId="36" fillId="0" borderId="13" xfId="0" applyNumberFormat="1" applyFont="1" applyBorder="1"/>
    <xf numFmtId="4" fontId="36" fillId="0" borderId="0" xfId="0" applyNumberFormat="1" applyFont="1"/>
    <xf numFmtId="168" fontId="36" fillId="0" borderId="13" xfId="10" applyNumberFormat="1" applyFont="1" applyBorder="1"/>
    <xf numFmtId="168" fontId="36" fillId="0" borderId="0" xfId="10" applyNumberFormat="1" applyFont="1"/>
    <xf numFmtId="0" fontId="36" fillId="0" borderId="14" xfId="0" applyFont="1" applyBorder="1"/>
    <xf numFmtId="0" fontId="36" fillId="0" borderId="7" xfId="0" applyFont="1" applyBorder="1" applyProtection="1">
      <protection hidden="1"/>
    </xf>
    <xf numFmtId="0" fontId="36" fillId="0" borderId="15" xfId="0" applyFont="1" applyBorder="1"/>
    <xf numFmtId="0" fontId="37" fillId="0" borderId="0" xfId="0" applyFont="1" applyAlignment="1">
      <alignment horizontal="center"/>
    </xf>
    <xf numFmtId="0" fontId="37" fillId="0" borderId="20" xfId="0" applyFont="1" applyBorder="1" applyAlignment="1">
      <alignment horizontal="center"/>
    </xf>
    <xf numFmtId="0" fontId="37" fillId="0" borderId="0" xfId="0" applyFont="1" applyAlignment="1" applyProtection="1">
      <alignment horizontal="center"/>
      <protection hidden="1"/>
    </xf>
    <xf numFmtId="0" fontId="37" fillId="0" borderId="20" xfId="0" applyFont="1" applyBorder="1" applyAlignment="1" applyProtection="1">
      <alignment horizontal="center"/>
      <protection hidden="1"/>
    </xf>
    <xf numFmtId="0" fontId="37" fillId="0" borderId="7" xfId="0" applyFont="1" applyBorder="1" applyAlignment="1" applyProtection="1">
      <alignment horizontal="center"/>
      <protection hidden="1"/>
    </xf>
    <xf numFmtId="164" fontId="0" fillId="0" borderId="0" xfId="0" applyNumberFormat="1"/>
    <xf numFmtId="0" fontId="0" fillId="4" borderId="24" xfId="0" applyFill="1" applyBorder="1"/>
    <xf numFmtId="164" fontId="0" fillId="4" borderId="24" xfId="1" applyFont="1" applyFill="1" applyBorder="1"/>
    <xf numFmtId="0" fontId="0" fillId="0" borderId="24" xfId="0" applyBorder="1"/>
    <xf numFmtId="0" fontId="0" fillId="0" borderId="25" xfId="0" applyBorder="1"/>
    <xf numFmtId="165" fontId="0" fillId="0" borderId="25" xfId="1" applyNumberFormat="1" applyFont="1" applyBorder="1"/>
    <xf numFmtId="14" fontId="14" fillId="0" borderId="0" xfId="0" applyNumberFormat="1" applyFont="1"/>
    <xf numFmtId="0" fontId="16" fillId="0" borderId="25" xfId="0" applyFont="1" applyBorder="1"/>
    <xf numFmtId="164" fontId="4" fillId="0" borderId="25" xfId="1" applyFont="1" applyBorder="1" applyAlignment="1">
      <alignment horizontal="center"/>
    </xf>
    <xf numFmtId="164" fontId="0" fillId="0" borderId="25" xfId="1" applyFont="1" applyBorder="1"/>
    <xf numFmtId="0" fontId="16" fillId="0" borderId="26" xfId="0" applyFont="1" applyBorder="1"/>
    <xf numFmtId="0" fontId="16" fillId="0" borderId="27" xfId="0" applyFont="1" applyBorder="1"/>
    <xf numFmtId="164" fontId="16" fillId="0" borderId="0" xfId="0" applyNumberFormat="1" applyFont="1"/>
    <xf numFmtId="164" fontId="14" fillId="0" borderId="0" xfId="0" applyNumberFormat="1" applyFont="1"/>
    <xf numFmtId="164" fontId="14" fillId="0" borderId="2" xfId="0" applyNumberFormat="1" applyFont="1" applyBorder="1"/>
    <xf numFmtId="164" fontId="4" fillId="0" borderId="0" xfId="1" applyFont="1" applyAlignment="1">
      <alignment horizontal="center"/>
    </xf>
    <xf numFmtId="165" fontId="14" fillId="0" borderId="0" xfId="0" applyNumberFormat="1" applyFont="1"/>
    <xf numFmtId="0" fontId="20" fillId="0" borderId="0" xfId="0" applyFont="1" applyAlignment="1">
      <alignment horizontal="center" vertical="top"/>
    </xf>
    <xf numFmtId="164" fontId="16" fillId="0" borderId="0" xfId="1" applyNumberFormat="1" applyFont="1"/>
    <xf numFmtId="164" fontId="15" fillId="0" borderId="0" xfId="0" applyNumberFormat="1" applyFont="1"/>
    <xf numFmtId="164" fontId="14" fillId="0" borderId="1" xfId="1" applyNumberFormat="1" applyFont="1" applyBorder="1"/>
    <xf numFmtId="164" fontId="16" fillId="0" borderId="6" xfId="1" applyNumberFormat="1" applyFont="1" applyBorder="1"/>
    <xf numFmtId="164" fontId="14" fillId="0" borderId="2" xfId="1" applyNumberFormat="1" applyFont="1" applyBorder="1"/>
    <xf numFmtId="164" fontId="16" fillId="0" borderId="3" xfId="1" applyNumberFormat="1" applyFont="1" applyBorder="1"/>
    <xf numFmtId="164" fontId="17" fillId="0" borderId="0" xfId="0" applyNumberFormat="1" applyFont="1"/>
    <xf numFmtId="164" fontId="16" fillId="0" borderId="0" xfId="0" applyNumberFormat="1" applyFont="1" applyAlignment="1">
      <alignment horizontal="left" indent="1"/>
    </xf>
    <xf numFmtId="164" fontId="14" fillId="0" borderId="3" xfId="1" applyNumberFormat="1" applyFont="1" applyBorder="1"/>
    <xf numFmtId="164" fontId="16" fillId="0" borderId="1" xfId="1" applyNumberFormat="1" applyFont="1" applyBorder="1"/>
    <xf numFmtId="164" fontId="14" fillId="0" borderId="0" xfId="1" applyNumberFormat="1" applyFont="1"/>
    <xf numFmtId="164" fontId="14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left"/>
    </xf>
    <xf numFmtId="164" fontId="15" fillId="0" borderId="0" xfId="1" applyNumberFormat="1" applyFont="1"/>
    <xf numFmtId="164" fontId="14" fillId="0" borderId="0" xfId="1" applyNumberFormat="1" applyFont="1" applyAlignment="1">
      <alignment horizontal="center"/>
    </xf>
    <xf numFmtId="164" fontId="16" fillId="0" borderId="0" xfId="1" applyNumberFormat="1" applyFont="1" applyAlignment="1">
      <alignment horizontal="center"/>
    </xf>
    <xf numFmtId="164" fontId="0" fillId="0" borderId="0" xfId="1" applyNumberFormat="1" applyFont="1"/>
    <xf numFmtId="164" fontId="16" fillId="0" borderId="3" xfId="1" applyNumberFormat="1" applyFont="1" applyBorder="1" applyAlignment="1">
      <alignment horizontal="center"/>
    </xf>
    <xf numFmtId="164" fontId="14" fillId="0" borderId="6" xfId="1" applyNumberFormat="1" applyFont="1" applyBorder="1" applyAlignment="1">
      <alignment horizontal="center"/>
    </xf>
    <xf numFmtId="164" fontId="14" fillId="0" borderId="0" xfId="1" applyNumberFormat="1" applyFont="1" applyBorder="1" applyAlignment="1">
      <alignment horizontal="center"/>
    </xf>
    <xf numFmtId="164" fontId="16" fillId="0" borderId="0" xfId="1" applyNumberFormat="1" applyFont="1" applyBorder="1" applyAlignment="1">
      <alignment horizontal="center"/>
    </xf>
    <xf numFmtId="164" fontId="14" fillId="0" borderId="2" xfId="1" applyNumberFormat="1" applyFont="1" applyBorder="1" applyAlignment="1">
      <alignment horizontal="center"/>
    </xf>
    <xf numFmtId="164" fontId="33" fillId="0" borderId="3" xfId="1" applyNumberFormat="1" applyFont="1" applyBorder="1"/>
    <xf numFmtId="164" fontId="33" fillId="0" borderId="0" xfId="1" applyNumberFormat="1" applyFont="1"/>
    <xf numFmtId="164" fontId="33" fillId="0" borderId="1" xfId="1" applyNumberFormat="1" applyFont="1" applyBorder="1"/>
    <xf numFmtId="164" fontId="34" fillId="0" borderId="0" xfId="1" applyNumberFormat="1" applyFont="1"/>
    <xf numFmtId="164" fontId="34" fillId="0" borderId="1" xfId="1" applyNumberFormat="1" applyFont="1" applyBorder="1"/>
    <xf numFmtId="164" fontId="34" fillId="0" borderId="3" xfId="1" applyNumberFormat="1" applyFont="1" applyBorder="1"/>
    <xf numFmtId="164" fontId="34" fillId="0" borderId="2" xfId="1" applyNumberFormat="1" applyFont="1" applyBorder="1"/>
    <xf numFmtId="164" fontId="3" fillId="0" borderId="0" xfId="1" applyNumberFormat="1" applyFont="1"/>
    <xf numFmtId="164" fontId="0" fillId="0" borderId="0" xfId="1" applyFont="1" applyAlignment="1">
      <alignment horizontal="center"/>
    </xf>
    <xf numFmtId="43" fontId="4" fillId="0" borderId="0" xfId="0" applyNumberFormat="1" applyFont="1"/>
    <xf numFmtId="164" fontId="33" fillId="0" borderId="0" xfId="1" applyNumberFormat="1" applyFont="1" applyFill="1"/>
    <xf numFmtId="164" fontId="16" fillId="0" borderId="0" xfId="1" applyNumberFormat="1" applyFont="1" applyFill="1"/>
    <xf numFmtId="0" fontId="20" fillId="0" borderId="0" xfId="0" applyFont="1" applyAlignment="1">
      <alignment horizontal="center"/>
    </xf>
    <xf numFmtId="0" fontId="12" fillId="0" borderId="0" xfId="7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14" fontId="31" fillId="0" borderId="9" xfId="0" applyNumberFormat="1" applyFont="1" applyBorder="1" applyAlignment="1">
      <alignment horizontal="center" vertical="center"/>
    </xf>
    <xf numFmtId="0" fontId="30" fillId="0" borderId="0" xfId="0" applyFont="1" applyAlignment="1">
      <alignment horizontal="justify" vertical="center"/>
    </xf>
    <xf numFmtId="0" fontId="31" fillId="0" borderId="0" xfId="0" applyFont="1" applyAlignment="1">
      <alignment horizontal="center" vertical="center"/>
    </xf>
    <xf numFmtId="0" fontId="26" fillId="0" borderId="0" xfId="0" applyFont="1" applyAlignment="1">
      <alignment horizontal="justify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14" fontId="27" fillId="0" borderId="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3" xfId="0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 vertical="top"/>
    </xf>
    <xf numFmtId="0" fontId="18" fillId="0" borderId="0" xfId="0" applyFont="1" applyAlignment="1">
      <alignment horizontal="center"/>
    </xf>
    <xf numFmtId="0" fontId="37" fillId="0" borderId="3" xfId="0" applyFont="1" applyBorder="1" applyAlignment="1" applyProtection="1">
      <alignment horizontal="center"/>
      <protection hidden="1"/>
    </xf>
    <xf numFmtId="0" fontId="37" fillId="0" borderId="0" xfId="0" applyFont="1" applyAlignment="1" applyProtection="1">
      <alignment horizontal="left" vertical="center"/>
      <protection hidden="1"/>
    </xf>
    <xf numFmtId="0" fontId="37" fillId="0" borderId="7" xfId="0" applyFont="1" applyBorder="1" applyAlignment="1" applyProtection="1">
      <alignment horizontal="left" vertical="center"/>
      <protection hidden="1"/>
    </xf>
    <xf numFmtId="10" fontId="0" fillId="0" borderId="0" xfId="8" applyNumberFormat="1" applyFont="1" applyAlignment="1">
      <alignment horizontal="center" vertical="center"/>
    </xf>
    <xf numFmtId="10" fontId="0" fillId="0" borderId="7" xfId="8" applyNumberFormat="1" applyFont="1" applyBorder="1" applyAlignment="1">
      <alignment horizontal="center" vertical="center"/>
    </xf>
    <xf numFmtId="0" fontId="37" fillId="0" borderId="23" xfId="0" applyFont="1" applyBorder="1" applyAlignment="1" applyProtection="1">
      <alignment horizontal="center"/>
      <protection hidden="1"/>
    </xf>
    <xf numFmtId="0" fontId="37" fillId="0" borderId="20" xfId="0" applyFont="1" applyBorder="1" applyAlignment="1" applyProtection="1">
      <alignment horizontal="left" vertical="center"/>
      <protection hidden="1"/>
    </xf>
    <xf numFmtId="10" fontId="0" fillId="0" borderId="20" xfId="8" applyNumberFormat="1" applyFont="1" applyBorder="1" applyAlignment="1">
      <alignment horizontal="center" vertical="center"/>
    </xf>
    <xf numFmtId="0" fontId="37" fillId="0" borderId="21" xfId="0" applyFont="1" applyBorder="1" applyAlignment="1" applyProtection="1">
      <alignment horizontal="center"/>
      <protection hidden="1"/>
    </xf>
    <xf numFmtId="2" fontId="0" fillId="0" borderId="0" xfId="0" applyNumberFormat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0" fontId="35" fillId="0" borderId="10" xfId="0" applyFont="1" applyBorder="1" applyAlignment="1">
      <alignment horizontal="center"/>
    </xf>
    <xf numFmtId="0" fontId="35" fillId="0" borderId="8" xfId="0" applyFont="1" applyBorder="1" applyAlignment="1">
      <alignment horizontal="center"/>
    </xf>
    <xf numFmtId="0" fontId="35" fillId="0" borderId="11" xfId="0" applyFont="1" applyBorder="1" applyAlignment="1">
      <alignment horizontal="center"/>
    </xf>
    <xf numFmtId="0" fontId="36" fillId="0" borderId="12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6" fillId="0" borderId="13" xfId="0" applyFont="1" applyBorder="1" applyAlignment="1">
      <alignment horizontal="center"/>
    </xf>
    <xf numFmtId="0" fontId="35" fillId="0" borderId="18" xfId="0" applyFont="1" applyBorder="1" applyAlignment="1">
      <alignment horizontal="center"/>
    </xf>
    <xf numFmtId="0" fontId="35" fillId="0" borderId="3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3" xfId="0" applyFont="1" applyBorder="1" applyAlignment="1" applyProtection="1">
      <alignment horizontal="left" vertical="center"/>
      <protection hidden="1"/>
    </xf>
    <xf numFmtId="0" fontId="37" fillId="0" borderId="3" xfId="0" applyFont="1" applyBorder="1" applyAlignment="1">
      <alignment horizontal="center"/>
    </xf>
    <xf numFmtId="0" fontId="37" fillId="0" borderId="21" xfId="0" applyFont="1" applyBorder="1" applyAlignment="1">
      <alignment horizontal="center"/>
    </xf>
  </cellXfs>
  <cellStyles count="11">
    <cellStyle name="Moeda" xfId="9" builtinId="4"/>
    <cellStyle name="Normal" xfId="0" builtinId="0"/>
    <cellStyle name="Normal 2" xfId="2" xr:uid="{00000000-0005-0000-0000-000001000000}"/>
    <cellStyle name="Normal 3" xfId="4" xr:uid="{00000000-0005-0000-0000-000002000000}"/>
    <cellStyle name="Normal 4" xfId="7" xr:uid="{00000000-0005-0000-0000-000003000000}"/>
    <cellStyle name="Porcentagem" xfId="8" builtinId="5"/>
    <cellStyle name="Porcentagem 2" xfId="6" xr:uid="{00000000-0005-0000-0000-000005000000}"/>
    <cellStyle name="Separador de milhares 2" xfId="3" xr:uid="{00000000-0005-0000-0000-000006000000}"/>
    <cellStyle name="Separador de milhares 3" xfId="5" xr:uid="{00000000-0005-0000-0000-000007000000}"/>
    <cellStyle name="Vírgula" xfId="1" builtinId="3"/>
    <cellStyle name="Vírgula 2" xfId="10" xr:uid="{E536C8E6-5886-405A-BC64-F5BE0C684A06}"/>
  </cellStyles>
  <dxfs count="11">
    <dxf>
      <numFmt numFmtId="0" formatCode="General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523875</xdr:colOff>
      <xdr:row>3</xdr:row>
      <xdr:rowOff>9525</xdr:rowOff>
    </xdr:from>
    <xdr:to>
      <xdr:col>9</xdr:col>
      <xdr:colOff>190500</xdr:colOff>
      <xdr:row>9</xdr:row>
      <xdr:rowOff>9525</xdr:rowOff>
    </xdr:to>
    <xdr:pic>
      <xdr:nvPicPr>
        <xdr:cNvPr id="4" name="Imagem 4" descr="Logo_ACR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28041" y="438151"/>
          <a:ext cx="1496784" cy="952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lauber.ACR\OneDrive\Documentos\Suape\Suape-DFs%20Mode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es"/>
      <sheetName val="BP"/>
      <sheetName val="DRE"/>
      <sheetName val="DFC"/>
      <sheetName val="Índices"/>
      <sheetName val="Plano de Contas"/>
      <sheetName val="Estrutura BP"/>
      <sheetName val="Jun2017"/>
      <sheetName val="Jun2016"/>
      <sheetName val="Dez2016"/>
      <sheetName val="Dez2015"/>
    </sheetNames>
    <sheetDataSet>
      <sheetData sheetId="0">
        <row r="2">
          <cell r="H2" t="str">
            <v>tbBalJun2017TT[Cód. Balanço Patrimonial]</v>
          </cell>
          <cell r="I2" t="str">
            <v>tbBalJun2017TT[Saldo Final em Mil]</v>
          </cell>
        </row>
        <row r="3">
          <cell r="H3" t="str">
            <v>tbBalJun2016TT[Cód. Balanço Patrimonial]</v>
          </cell>
          <cell r="I3" t="str">
            <v>tbBalJun2016TT[Saldo Final em Mil]</v>
          </cell>
        </row>
        <row r="4">
          <cell r="H4" t="str">
            <v>tbBalDez2016TT[Cód. Balanço Patrimonial]</v>
          </cell>
          <cell r="I4" t="str">
            <v>tbBalDez2016TT[Saldo Final em Mil]</v>
          </cell>
        </row>
        <row r="5">
          <cell r="H5" t="str">
            <v>tbBalDez2015TT[Cód. Balanço Patrimonial]</v>
          </cell>
          <cell r="I5" t="str">
            <v>tbBalDez2015TT[Saldo Final em Mil]</v>
          </cell>
        </row>
        <row r="6">
          <cell r="H6" t="str">
            <v>tbFCJun2017TT[Cód. DFC]</v>
          </cell>
          <cell r="I6" t="str">
            <v>tbFCJun2017TT[Saldo Final em Mil]</v>
          </cell>
        </row>
        <row r="7">
          <cell r="H7" t="str">
            <v>tbFCJun2016TT[Cód. DFC]</v>
          </cell>
          <cell r="I7" t="str">
            <v>tbFCJun2016TT[Saldo Final em Mil]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_1" connectionId="10" xr16:uid="{00000000-0016-0000-0600-000000000000}" autoFormatId="16" applyNumberFormats="0" applyBorderFormats="0" applyFontFormats="0" applyPatternFormats="0" applyAlignmentFormats="0" applyWidthHeightFormats="0">
  <queryTableRefresh nextId="13" unboundColumnsRight="3">
    <queryTableFields count="12">
      <queryTableField id="1" name="Conta" tableColumnId="10"/>
      <queryTableField id="2" name="Cod Reduzido" tableColumnId="2"/>
      <queryTableField id="3" name="Descrição" tableColumnId="3"/>
      <queryTableField id="4" name="Saldo Inicial" tableColumnId="4"/>
      <queryTableField id="5" name="Débito" tableColumnId="5"/>
      <queryTableField id="6" name="Crédito" tableColumnId="6"/>
      <queryTableField id="7" name="Movimento Mês" tableColumnId="7"/>
      <queryTableField id="8" name="Saldo Final" tableColumnId="8"/>
      <queryTableField id="9" name="Saldo Final em Mil" tableColumnId="9"/>
      <queryTableField id="10" dataBound="0" tableColumnId="11"/>
      <queryTableField id="11" dataBound="0" tableColumnId="12"/>
      <queryTableField id="12" dataBound="0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Dez16" displayName="tbDez16" ref="A1:L436" tableType="queryTable" totalsRowShown="0">
  <autoFilter ref="A1:L436" xr:uid="{00000000-0009-0000-0100-000001000000}"/>
  <tableColumns count="12">
    <tableColumn id="10" xr3:uid="{00000000-0010-0000-0000-00000A000000}" uniqueName="10" name="Conta" queryTableFieldId="1" dataDxfId="10"/>
    <tableColumn id="2" xr3:uid="{00000000-0010-0000-0000-000002000000}" uniqueName="2" name="Cod Reduzido" queryTableFieldId="2" dataDxfId="9"/>
    <tableColumn id="3" xr3:uid="{00000000-0010-0000-0000-000003000000}" uniqueName="3" name="Descrição" queryTableFieldId="3" dataDxfId="8"/>
    <tableColumn id="4" xr3:uid="{00000000-0010-0000-0000-000004000000}" uniqueName="4" name="Saldo Inicial" queryTableFieldId="4" dataDxfId="7"/>
    <tableColumn id="5" xr3:uid="{00000000-0010-0000-0000-000005000000}" uniqueName="5" name="Débito" queryTableFieldId="5" dataDxfId="6"/>
    <tableColumn id="6" xr3:uid="{00000000-0010-0000-0000-000006000000}" uniqueName="6" name="Crédito" queryTableFieldId="6" dataDxfId="5"/>
    <tableColumn id="7" xr3:uid="{00000000-0010-0000-0000-000007000000}" uniqueName="7" name="Movimento Mês" queryTableFieldId="7" dataDxfId="4"/>
    <tableColumn id="8" xr3:uid="{00000000-0010-0000-0000-000008000000}" uniqueName="8" name="Saldo Final" queryTableFieldId="8" dataCellStyle="Vírgula"/>
    <tableColumn id="9" xr3:uid="{00000000-0010-0000-0000-000009000000}" uniqueName="9" name="Saldo Final em Mil" queryTableFieldId="9" dataDxfId="3"/>
    <tableColumn id="11" xr3:uid="{00000000-0010-0000-0000-00000B000000}" uniqueName="11" name="Agrupamento BP/DRE" queryTableFieldId="10" dataDxfId="2">
      <calculatedColumnFormula>INDEX('Plano de Contas'!#REF!,MATCH(tbDez16[[#This Row],[Conta]],'Plano de Contas'!#REF!,0))</calculatedColumnFormula>
    </tableColumn>
    <tableColumn id="12" xr3:uid="{00000000-0010-0000-0000-00000C000000}" uniqueName="12" name="Agrupamento DVA" queryTableFieldId="11" dataDxfId="1">
      <calculatedColumnFormula>INDEX('Plano de Contas'!#REF!,MATCH(tbDez16[[#This Row],[Conta]],'Plano de Contas'!#REF!,0))</calculatedColumnFormula>
    </tableColumn>
    <tableColumn id="1" xr3:uid="{00000000-0010-0000-0000-000001000000}" uniqueName="1" name="Nota Explicativa" queryTableFieldId="12" dataDxfId="0">
      <calculatedColumnFormula>INDEX('Plano de Contas'!#REF!,MATCH(tbDez16[[#This Row],[Conta]],'Plano de Contas'!#REF!,0))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37"/>
  <sheetViews>
    <sheetView showGridLines="0" zoomScaleNormal="100" workbookViewId="0">
      <selection activeCell="Q14" sqref="Q14"/>
    </sheetView>
  </sheetViews>
  <sheetFormatPr defaultRowHeight="11.25" x14ac:dyDescent="0.2"/>
  <cols>
    <col min="1" max="9" width="9.140625" style="12"/>
    <col min="10" max="10" width="9.140625" style="12" customWidth="1"/>
    <col min="11" max="11" width="0.85546875" style="12" customWidth="1"/>
    <col min="12" max="266" width="9.140625" style="12"/>
    <col min="267" max="267" width="0.85546875" style="12" customWidth="1"/>
    <col min="268" max="522" width="9.140625" style="12"/>
    <col min="523" max="523" width="0.85546875" style="12" customWidth="1"/>
    <col min="524" max="778" width="9.140625" style="12"/>
    <col min="779" max="779" width="0.85546875" style="12" customWidth="1"/>
    <col min="780" max="1034" width="9.140625" style="12"/>
    <col min="1035" max="1035" width="0.85546875" style="12" customWidth="1"/>
    <col min="1036" max="1290" width="9.140625" style="12"/>
    <col min="1291" max="1291" width="0.85546875" style="12" customWidth="1"/>
    <col min="1292" max="1546" width="9.140625" style="12"/>
    <col min="1547" max="1547" width="0.85546875" style="12" customWidth="1"/>
    <col min="1548" max="1802" width="9.140625" style="12"/>
    <col min="1803" max="1803" width="0.85546875" style="12" customWidth="1"/>
    <col min="1804" max="2058" width="9.140625" style="12"/>
    <col min="2059" max="2059" width="0.85546875" style="12" customWidth="1"/>
    <col min="2060" max="2314" width="9.140625" style="12"/>
    <col min="2315" max="2315" width="0.85546875" style="12" customWidth="1"/>
    <col min="2316" max="2570" width="9.140625" style="12"/>
    <col min="2571" max="2571" width="0.85546875" style="12" customWidth="1"/>
    <col min="2572" max="2826" width="9.140625" style="12"/>
    <col min="2827" max="2827" width="0.85546875" style="12" customWidth="1"/>
    <col min="2828" max="3082" width="9.140625" style="12"/>
    <col min="3083" max="3083" width="0.85546875" style="12" customWidth="1"/>
    <col min="3084" max="3338" width="9.140625" style="12"/>
    <col min="3339" max="3339" width="0.85546875" style="12" customWidth="1"/>
    <col min="3340" max="3594" width="9.140625" style="12"/>
    <col min="3595" max="3595" width="0.85546875" style="12" customWidth="1"/>
    <col min="3596" max="3850" width="9.140625" style="12"/>
    <col min="3851" max="3851" width="0.85546875" style="12" customWidth="1"/>
    <col min="3852" max="4106" width="9.140625" style="12"/>
    <col min="4107" max="4107" width="0.85546875" style="12" customWidth="1"/>
    <col min="4108" max="4362" width="9.140625" style="12"/>
    <col min="4363" max="4363" width="0.85546875" style="12" customWidth="1"/>
    <col min="4364" max="4618" width="9.140625" style="12"/>
    <col min="4619" max="4619" width="0.85546875" style="12" customWidth="1"/>
    <col min="4620" max="4874" width="9.140625" style="12"/>
    <col min="4875" max="4875" width="0.85546875" style="12" customWidth="1"/>
    <col min="4876" max="5130" width="9.140625" style="12"/>
    <col min="5131" max="5131" width="0.85546875" style="12" customWidth="1"/>
    <col min="5132" max="5386" width="9.140625" style="12"/>
    <col min="5387" max="5387" width="0.85546875" style="12" customWidth="1"/>
    <col min="5388" max="5642" width="9.140625" style="12"/>
    <col min="5643" max="5643" width="0.85546875" style="12" customWidth="1"/>
    <col min="5644" max="5898" width="9.140625" style="12"/>
    <col min="5899" max="5899" width="0.85546875" style="12" customWidth="1"/>
    <col min="5900" max="6154" width="9.140625" style="12"/>
    <col min="6155" max="6155" width="0.85546875" style="12" customWidth="1"/>
    <col min="6156" max="6410" width="9.140625" style="12"/>
    <col min="6411" max="6411" width="0.85546875" style="12" customWidth="1"/>
    <col min="6412" max="6666" width="9.140625" style="12"/>
    <col min="6667" max="6667" width="0.85546875" style="12" customWidth="1"/>
    <col min="6668" max="6922" width="9.140625" style="12"/>
    <col min="6923" max="6923" width="0.85546875" style="12" customWidth="1"/>
    <col min="6924" max="7178" width="9.140625" style="12"/>
    <col min="7179" max="7179" width="0.85546875" style="12" customWidth="1"/>
    <col min="7180" max="7434" width="9.140625" style="12"/>
    <col min="7435" max="7435" width="0.85546875" style="12" customWidth="1"/>
    <col min="7436" max="7690" width="9.140625" style="12"/>
    <col min="7691" max="7691" width="0.85546875" style="12" customWidth="1"/>
    <col min="7692" max="7946" width="9.140625" style="12"/>
    <col min="7947" max="7947" width="0.85546875" style="12" customWidth="1"/>
    <col min="7948" max="8202" width="9.140625" style="12"/>
    <col min="8203" max="8203" width="0.85546875" style="12" customWidth="1"/>
    <col min="8204" max="8458" width="9.140625" style="12"/>
    <col min="8459" max="8459" width="0.85546875" style="12" customWidth="1"/>
    <col min="8460" max="8714" width="9.140625" style="12"/>
    <col min="8715" max="8715" width="0.85546875" style="12" customWidth="1"/>
    <col min="8716" max="8970" width="9.140625" style="12"/>
    <col min="8971" max="8971" width="0.85546875" style="12" customWidth="1"/>
    <col min="8972" max="9226" width="9.140625" style="12"/>
    <col min="9227" max="9227" width="0.85546875" style="12" customWidth="1"/>
    <col min="9228" max="9482" width="9.140625" style="12"/>
    <col min="9483" max="9483" width="0.85546875" style="12" customWidth="1"/>
    <col min="9484" max="9738" width="9.140625" style="12"/>
    <col min="9739" max="9739" width="0.85546875" style="12" customWidth="1"/>
    <col min="9740" max="9994" width="9.140625" style="12"/>
    <col min="9995" max="9995" width="0.85546875" style="12" customWidth="1"/>
    <col min="9996" max="10250" width="9.140625" style="12"/>
    <col min="10251" max="10251" width="0.85546875" style="12" customWidth="1"/>
    <col min="10252" max="10506" width="9.140625" style="12"/>
    <col min="10507" max="10507" width="0.85546875" style="12" customWidth="1"/>
    <col min="10508" max="10762" width="9.140625" style="12"/>
    <col min="10763" max="10763" width="0.85546875" style="12" customWidth="1"/>
    <col min="10764" max="11018" width="9.140625" style="12"/>
    <col min="11019" max="11019" width="0.85546875" style="12" customWidth="1"/>
    <col min="11020" max="11274" width="9.140625" style="12"/>
    <col min="11275" max="11275" width="0.85546875" style="12" customWidth="1"/>
    <col min="11276" max="11530" width="9.140625" style="12"/>
    <col min="11531" max="11531" width="0.85546875" style="12" customWidth="1"/>
    <col min="11532" max="11786" width="9.140625" style="12"/>
    <col min="11787" max="11787" width="0.85546875" style="12" customWidth="1"/>
    <col min="11788" max="12042" width="9.140625" style="12"/>
    <col min="12043" max="12043" width="0.85546875" style="12" customWidth="1"/>
    <col min="12044" max="12298" width="9.140625" style="12"/>
    <col min="12299" max="12299" width="0.85546875" style="12" customWidth="1"/>
    <col min="12300" max="12554" width="9.140625" style="12"/>
    <col min="12555" max="12555" width="0.85546875" style="12" customWidth="1"/>
    <col min="12556" max="12810" width="9.140625" style="12"/>
    <col min="12811" max="12811" width="0.85546875" style="12" customWidth="1"/>
    <col min="12812" max="13066" width="9.140625" style="12"/>
    <col min="13067" max="13067" width="0.85546875" style="12" customWidth="1"/>
    <col min="13068" max="13322" width="9.140625" style="12"/>
    <col min="13323" max="13323" width="0.85546875" style="12" customWidth="1"/>
    <col min="13324" max="13578" width="9.140625" style="12"/>
    <col min="13579" max="13579" width="0.85546875" style="12" customWidth="1"/>
    <col min="13580" max="13834" width="9.140625" style="12"/>
    <col min="13835" max="13835" width="0.85546875" style="12" customWidth="1"/>
    <col min="13836" max="14090" width="9.140625" style="12"/>
    <col min="14091" max="14091" width="0.85546875" style="12" customWidth="1"/>
    <col min="14092" max="14346" width="9.140625" style="12"/>
    <col min="14347" max="14347" width="0.85546875" style="12" customWidth="1"/>
    <col min="14348" max="14602" width="9.140625" style="12"/>
    <col min="14603" max="14603" width="0.85546875" style="12" customWidth="1"/>
    <col min="14604" max="14858" width="9.140625" style="12"/>
    <col min="14859" max="14859" width="0.85546875" style="12" customWidth="1"/>
    <col min="14860" max="15114" width="9.140625" style="12"/>
    <col min="15115" max="15115" width="0.85546875" style="12" customWidth="1"/>
    <col min="15116" max="15370" width="9.140625" style="12"/>
    <col min="15371" max="15371" width="0.85546875" style="12" customWidth="1"/>
    <col min="15372" max="15626" width="9.140625" style="12"/>
    <col min="15627" max="15627" width="0.85546875" style="12" customWidth="1"/>
    <col min="15628" max="15882" width="9.140625" style="12"/>
    <col min="15883" max="15883" width="0.85546875" style="12" customWidth="1"/>
    <col min="15884" max="16138" width="9.140625" style="12"/>
    <col min="16139" max="16139" width="0.85546875" style="12" customWidth="1"/>
    <col min="16140" max="16384" width="9.140625" style="12"/>
  </cols>
  <sheetData>
    <row r="6" spans="7:7" ht="18" x14ac:dyDescent="0.25">
      <c r="G6" s="11"/>
    </row>
    <row r="7" spans="7:7" x14ac:dyDescent="0.2">
      <c r="G7" s="13"/>
    </row>
    <row r="28" spans="1:10" ht="23.25" x14ac:dyDescent="0.35">
      <c r="A28" s="276" t="s">
        <v>0</v>
      </c>
      <c r="B28" s="276"/>
      <c r="C28" s="276"/>
      <c r="D28" s="276"/>
      <c r="E28" s="276"/>
      <c r="F28" s="276"/>
      <c r="G28" s="276"/>
      <c r="H28" s="276"/>
      <c r="I28" s="276"/>
      <c r="J28" s="276"/>
    </row>
    <row r="29" spans="1:10" ht="23.25" x14ac:dyDescent="0.35">
      <c r="A29" s="276" t="s">
        <v>1</v>
      </c>
      <c r="B29" s="276"/>
      <c r="C29" s="276"/>
      <c r="D29" s="276"/>
      <c r="E29" s="276"/>
      <c r="F29" s="276"/>
      <c r="G29" s="276"/>
      <c r="H29" s="276"/>
      <c r="I29" s="276"/>
      <c r="J29" s="276"/>
    </row>
    <row r="30" spans="1:10" ht="23.25" x14ac:dyDescent="0.35">
      <c r="A30" s="276" t="s">
        <v>2</v>
      </c>
      <c r="B30" s="276"/>
      <c r="C30" s="276"/>
      <c r="D30" s="276"/>
      <c r="E30" s="276"/>
      <c r="F30" s="276"/>
      <c r="G30" s="276"/>
      <c r="H30" s="276"/>
      <c r="I30" s="276"/>
      <c r="J30" s="276"/>
    </row>
    <row r="35" spans="1:10" ht="23.25" x14ac:dyDescent="0.35">
      <c r="A35" s="276" t="s">
        <v>3</v>
      </c>
      <c r="B35" s="276"/>
      <c r="C35" s="276"/>
      <c r="D35" s="276"/>
      <c r="E35" s="276"/>
      <c r="F35" s="276"/>
      <c r="G35" s="276"/>
      <c r="H35" s="276"/>
      <c r="I35" s="276"/>
      <c r="J35" s="276"/>
    </row>
    <row r="36" spans="1:10" ht="23.25" x14ac:dyDescent="0.35">
      <c r="A36" s="276" t="s">
        <v>4</v>
      </c>
      <c r="B36" s="276"/>
      <c r="C36" s="276"/>
      <c r="D36" s="276"/>
      <c r="E36" s="276"/>
      <c r="F36" s="276"/>
      <c r="G36" s="276"/>
      <c r="H36" s="276"/>
      <c r="I36" s="276"/>
      <c r="J36" s="276"/>
    </row>
    <row r="37" spans="1:10" ht="23.25" x14ac:dyDescent="0.35">
      <c r="A37" s="276" t="s">
        <v>5</v>
      </c>
      <c r="B37" s="276"/>
      <c r="C37" s="276"/>
      <c r="D37" s="276"/>
      <c r="E37" s="276"/>
      <c r="F37" s="276"/>
      <c r="G37" s="276"/>
      <c r="H37" s="276"/>
      <c r="I37" s="276"/>
      <c r="J37" s="276"/>
    </row>
  </sheetData>
  <mergeCells count="6">
    <mergeCell ref="A37:J37"/>
    <mergeCell ref="A28:J28"/>
    <mergeCell ref="A29:J29"/>
    <mergeCell ref="A30:J30"/>
    <mergeCell ref="A35:J35"/>
    <mergeCell ref="A36:J36"/>
  </mergeCells>
  <printOptions verticalCentered="1"/>
  <pageMargins left="0.59055118110236227" right="0.19685039370078741" top="0.39370078740157483" bottom="0.39370078740157483" header="0.51181102362204722" footer="0.51181102362204722"/>
  <pageSetup paperSize="9" scale="97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436"/>
  <sheetViews>
    <sheetView topLeftCell="A287" zoomScale="90" zoomScaleNormal="90" workbookViewId="0">
      <selection activeCell="A9" sqref="A9:J9"/>
    </sheetView>
  </sheetViews>
  <sheetFormatPr defaultRowHeight="15" x14ac:dyDescent="0.25"/>
  <cols>
    <col min="1" max="1" width="13" bestFit="1" customWidth="1"/>
    <col min="2" max="2" width="15.5703125" bestFit="1" customWidth="1"/>
    <col min="3" max="3" width="37.42578125" bestFit="1" customWidth="1"/>
    <col min="4" max="4" width="14" bestFit="1" customWidth="1"/>
    <col min="5" max="6" width="13.28515625" bestFit="1" customWidth="1"/>
    <col min="7" max="7" width="18.140625" bestFit="1" customWidth="1"/>
    <col min="8" max="8" width="18.42578125" bestFit="1" customWidth="1"/>
    <col min="9" max="9" width="19.85546875" bestFit="1" customWidth="1"/>
    <col min="10" max="10" width="48.85546875" style="52" bestFit="1" customWidth="1"/>
    <col min="11" max="11" width="41.7109375" style="52" bestFit="1" customWidth="1"/>
    <col min="12" max="12" width="17.5703125" bestFit="1" customWidth="1"/>
  </cols>
  <sheetData>
    <row r="1" spans="1:12" x14ac:dyDescent="0.25">
      <c r="A1" t="s">
        <v>1487</v>
      </c>
      <c r="B1" t="s">
        <v>1488</v>
      </c>
      <c r="C1" t="s">
        <v>1489</v>
      </c>
      <c r="D1" t="s">
        <v>1490</v>
      </c>
      <c r="E1" t="s">
        <v>1491</v>
      </c>
      <c r="F1" t="s">
        <v>1492</v>
      </c>
      <c r="G1" t="s">
        <v>1493</v>
      </c>
      <c r="H1" t="s">
        <v>1494</v>
      </c>
      <c r="I1" t="s">
        <v>1495</v>
      </c>
      <c r="J1" s="52" t="s">
        <v>2364</v>
      </c>
      <c r="K1" s="52" t="s">
        <v>2365</v>
      </c>
      <c r="L1" t="s">
        <v>2368</v>
      </c>
    </row>
    <row r="2" spans="1:12" x14ac:dyDescent="0.25">
      <c r="A2" t="s">
        <v>1496</v>
      </c>
      <c r="B2" t="s">
        <v>1497</v>
      </c>
      <c r="C2" t="s">
        <v>1498</v>
      </c>
      <c r="D2">
        <v>5357747665.3000002</v>
      </c>
      <c r="E2">
        <v>63073981.409999996</v>
      </c>
      <c r="F2">
        <v>71431004.879999995</v>
      </c>
      <c r="G2">
        <v>-8357023.4699999988</v>
      </c>
      <c r="H2" s="1">
        <v>5349390641.8299999</v>
      </c>
      <c r="I2">
        <v>5349390.6418300001</v>
      </c>
      <c r="J2" s="52" t="e">
        <f>INDEX('Plano de Contas'!#REF!,MATCH(tbDez16[[#This Row],[Conta]],'Plano de Contas'!#REF!,0))</f>
        <v>#REF!</v>
      </c>
      <c r="K2" s="52" t="e">
        <f>INDEX('Plano de Contas'!#REF!,MATCH(tbDez16[[#This Row],[Conta]],'Plano de Contas'!#REF!,0))</f>
        <v>#REF!</v>
      </c>
      <c r="L2" t="e">
        <f>INDEX('Plano de Contas'!#REF!,MATCH(tbDez16[[#This Row],[Conta]],'Plano de Contas'!#REF!,0))</f>
        <v>#REF!</v>
      </c>
    </row>
    <row r="3" spans="1:12" x14ac:dyDescent="0.25">
      <c r="A3" t="s">
        <v>36</v>
      </c>
      <c r="B3" t="s">
        <v>1499</v>
      </c>
      <c r="C3" t="s">
        <v>1500</v>
      </c>
      <c r="D3">
        <v>102128328.18000001</v>
      </c>
      <c r="E3">
        <v>48939564.979999997</v>
      </c>
      <c r="F3">
        <v>59792871.659999996</v>
      </c>
      <c r="G3">
        <v>-10853306.68</v>
      </c>
      <c r="H3" s="1">
        <v>91275021.5</v>
      </c>
      <c r="I3">
        <v>91275.021500000003</v>
      </c>
      <c r="J3" s="52" t="e">
        <f>INDEX('Plano de Contas'!#REF!,MATCH(tbDez16[[#This Row],[Conta]],'Plano de Contas'!#REF!,0))</f>
        <v>#REF!</v>
      </c>
      <c r="K3" s="52" t="e">
        <f>INDEX('Plano de Contas'!#REF!,MATCH(tbDez16[[#This Row],[Conta]],'Plano de Contas'!#REF!,0))</f>
        <v>#REF!</v>
      </c>
      <c r="L3" t="e">
        <f>INDEX('Plano de Contas'!#REF!,MATCH(tbDez16[[#This Row],[Conta]],'Plano de Contas'!#REF!,0))</f>
        <v>#REF!</v>
      </c>
    </row>
    <row r="4" spans="1:12" x14ac:dyDescent="0.25">
      <c r="A4" t="s">
        <v>38</v>
      </c>
      <c r="B4" t="s">
        <v>1501</v>
      </c>
      <c r="C4" t="s">
        <v>1502</v>
      </c>
      <c r="D4">
        <v>80196412.260000005</v>
      </c>
      <c r="E4">
        <v>29449675.600000001</v>
      </c>
      <c r="F4">
        <v>32496894.359999999</v>
      </c>
      <c r="G4">
        <v>-3047218.7599999979</v>
      </c>
      <c r="H4" s="1">
        <v>77149193.5</v>
      </c>
      <c r="I4">
        <v>77149.193499999994</v>
      </c>
      <c r="J4" s="52" t="e">
        <f>INDEX('Plano de Contas'!#REF!,MATCH(tbDez16[[#This Row],[Conta]],'Plano de Contas'!#REF!,0))</f>
        <v>#REF!</v>
      </c>
      <c r="K4" s="52" t="e">
        <f>INDEX('Plano de Contas'!#REF!,MATCH(tbDez16[[#This Row],[Conta]],'Plano de Contas'!#REF!,0))</f>
        <v>#REF!</v>
      </c>
      <c r="L4" t="e">
        <f>INDEX('Plano de Contas'!#REF!,MATCH(tbDez16[[#This Row],[Conta]],'Plano de Contas'!#REF!,0))</f>
        <v>#REF!</v>
      </c>
    </row>
    <row r="5" spans="1:12" x14ac:dyDescent="0.25">
      <c r="A5" t="s">
        <v>40</v>
      </c>
      <c r="B5" t="s">
        <v>1503</v>
      </c>
      <c r="C5" t="s">
        <v>1504</v>
      </c>
      <c r="D5">
        <v>2800</v>
      </c>
      <c r="E5">
        <v>2800</v>
      </c>
      <c r="F5">
        <v>5600</v>
      </c>
      <c r="G5">
        <v>-2800</v>
      </c>
      <c r="H5" s="1">
        <v>0</v>
      </c>
      <c r="I5">
        <v>0</v>
      </c>
      <c r="J5" s="52" t="e">
        <f>INDEX('Plano de Contas'!#REF!,MATCH(tbDez16[[#This Row],[Conta]],'Plano de Contas'!#REF!,0))</f>
        <v>#REF!</v>
      </c>
      <c r="K5" s="52" t="e">
        <f>INDEX('Plano de Contas'!#REF!,MATCH(tbDez16[[#This Row],[Conta]],'Plano de Contas'!#REF!,0))</f>
        <v>#REF!</v>
      </c>
      <c r="L5" t="e">
        <f>INDEX('Plano de Contas'!#REF!,MATCH(tbDez16[[#This Row],[Conta]],'Plano de Contas'!#REF!,0))</f>
        <v>#REF!</v>
      </c>
    </row>
    <row r="6" spans="1:12" x14ac:dyDescent="0.25">
      <c r="A6" t="s">
        <v>42</v>
      </c>
      <c r="B6" t="s">
        <v>1505</v>
      </c>
      <c r="C6" t="s">
        <v>1506</v>
      </c>
      <c r="D6">
        <v>2800</v>
      </c>
      <c r="E6">
        <v>2800</v>
      </c>
      <c r="F6">
        <v>5600</v>
      </c>
      <c r="G6">
        <v>-2800</v>
      </c>
      <c r="H6" s="1">
        <v>0</v>
      </c>
      <c r="I6">
        <v>0</v>
      </c>
      <c r="J6" s="52" t="e">
        <f>INDEX('Plano de Contas'!#REF!,MATCH(tbDez16[[#This Row],[Conta]],'Plano de Contas'!#REF!,0))</f>
        <v>#REF!</v>
      </c>
      <c r="K6" s="52" t="e">
        <f>INDEX('Plano de Contas'!#REF!,MATCH(tbDez16[[#This Row],[Conta]],'Plano de Contas'!#REF!,0))</f>
        <v>#REF!</v>
      </c>
      <c r="L6" t="e">
        <f>INDEX('Plano de Contas'!#REF!,MATCH(tbDez16[[#This Row],[Conta]],'Plano de Contas'!#REF!,0))</f>
        <v>#REF!</v>
      </c>
    </row>
    <row r="7" spans="1:12" x14ac:dyDescent="0.25">
      <c r="A7" t="s">
        <v>44</v>
      </c>
      <c r="B7" t="s">
        <v>1507</v>
      </c>
      <c r="C7" t="s">
        <v>1508</v>
      </c>
      <c r="D7">
        <v>1356572.94</v>
      </c>
      <c r="E7">
        <v>23907734.789999999</v>
      </c>
      <c r="F7">
        <v>23139210.66</v>
      </c>
      <c r="G7">
        <v>768524.12999999896</v>
      </c>
      <c r="H7" s="1">
        <v>2125097.0699999998</v>
      </c>
      <c r="I7">
        <v>2125.0970699999998</v>
      </c>
      <c r="J7" s="52" t="e">
        <f>INDEX('Plano de Contas'!#REF!,MATCH(tbDez16[[#This Row],[Conta]],'Plano de Contas'!#REF!,0))</f>
        <v>#REF!</v>
      </c>
      <c r="K7" s="52" t="e">
        <f>INDEX('Plano de Contas'!#REF!,MATCH(tbDez16[[#This Row],[Conta]],'Plano de Contas'!#REF!,0))</f>
        <v>#REF!</v>
      </c>
      <c r="L7" t="e">
        <f>INDEX('Plano de Contas'!#REF!,MATCH(tbDez16[[#This Row],[Conta]],'Plano de Contas'!#REF!,0))</f>
        <v>#REF!</v>
      </c>
    </row>
    <row r="8" spans="1:12" x14ac:dyDescent="0.25">
      <c r="A8" t="s">
        <v>48</v>
      </c>
      <c r="B8" t="s">
        <v>1509</v>
      </c>
      <c r="C8" t="s">
        <v>1510</v>
      </c>
      <c r="D8">
        <v>858811.92</v>
      </c>
      <c r="E8">
        <v>3044613.56</v>
      </c>
      <c r="F8">
        <v>3839794.72</v>
      </c>
      <c r="G8">
        <v>-795181.16000000015</v>
      </c>
      <c r="H8" s="1">
        <v>63630.76</v>
      </c>
      <c r="I8">
        <v>63.630760000000002</v>
      </c>
      <c r="J8" s="52" t="e">
        <f>INDEX('Plano de Contas'!#REF!,MATCH(tbDez16[[#This Row],[Conta]],'Plano de Contas'!#REF!,0))</f>
        <v>#REF!</v>
      </c>
      <c r="K8" s="52" t="e">
        <f>INDEX('Plano de Contas'!#REF!,MATCH(tbDez16[[#This Row],[Conta]],'Plano de Contas'!#REF!,0))</f>
        <v>#REF!</v>
      </c>
      <c r="L8" t="e">
        <f>INDEX('Plano de Contas'!#REF!,MATCH(tbDez16[[#This Row],[Conta]],'Plano de Contas'!#REF!,0))</f>
        <v>#REF!</v>
      </c>
    </row>
    <row r="9" spans="1:12" x14ac:dyDescent="0.25">
      <c r="A9" t="s">
        <v>62</v>
      </c>
      <c r="B9" t="s">
        <v>1511</v>
      </c>
      <c r="C9" t="s">
        <v>1512</v>
      </c>
      <c r="D9">
        <v>236159.01</v>
      </c>
      <c r="E9">
        <v>978288.72</v>
      </c>
      <c r="F9">
        <v>722994.24</v>
      </c>
      <c r="G9">
        <v>255294.47999999998</v>
      </c>
      <c r="H9" s="1">
        <v>491453.49</v>
      </c>
      <c r="I9">
        <v>491.45348999999999</v>
      </c>
      <c r="J9" s="52" t="e">
        <f>INDEX('Plano de Contas'!#REF!,MATCH(tbDez16[[#This Row],[Conta]],'Plano de Contas'!#REF!,0))</f>
        <v>#REF!</v>
      </c>
      <c r="K9" s="52" t="e">
        <f>INDEX('Plano de Contas'!#REF!,MATCH(tbDez16[[#This Row],[Conta]],'Plano de Contas'!#REF!,0))</f>
        <v>#REF!</v>
      </c>
      <c r="L9" t="e">
        <f>INDEX('Plano de Contas'!#REF!,MATCH(tbDez16[[#This Row],[Conta]],'Plano de Contas'!#REF!,0))</f>
        <v>#REF!</v>
      </c>
    </row>
    <row r="10" spans="1:12" x14ac:dyDescent="0.25">
      <c r="A10" t="s">
        <v>64</v>
      </c>
      <c r="B10" t="s">
        <v>1513</v>
      </c>
      <c r="C10" t="s">
        <v>1514</v>
      </c>
      <c r="D10">
        <v>7261.31</v>
      </c>
      <c r="E10">
        <v>0</v>
      </c>
      <c r="F10">
        <v>39</v>
      </c>
      <c r="G10">
        <v>-39</v>
      </c>
      <c r="H10" s="1">
        <v>7222.31</v>
      </c>
      <c r="I10">
        <v>7.2223100000000002</v>
      </c>
      <c r="J10" s="52" t="e">
        <f>INDEX('Plano de Contas'!#REF!,MATCH(tbDez16[[#This Row],[Conta]],'Plano de Contas'!#REF!,0))</f>
        <v>#REF!</v>
      </c>
      <c r="K10" s="52" t="e">
        <f>INDEX('Plano de Contas'!#REF!,MATCH(tbDez16[[#This Row],[Conta]],'Plano de Contas'!#REF!,0))</f>
        <v>#REF!</v>
      </c>
      <c r="L10" t="e">
        <f>INDEX('Plano de Contas'!#REF!,MATCH(tbDez16[[#This Row],[Conta]],'Plano de Contas'!#REF!,0))</f>
        <v>#REF!</v>
      </c>
    </row>
    <row r="11" spans="1:12" x14ac:dyDescent="0.25">
      <c r="A11" t="s">
        <v>66</v>
      </c>
      <c r="B11" t="s">
        <v>1515</v>
      </c>
      <c r="C11" t="s">
        <v>1516</v>
      </c>
      <c r="D11">
        <v>4191.04</v>
      </c>
      <c r="E11">
        <v>1433683.28</v>
      </c>
      <c r="F11">
        <v>1433722.28</v>
      </c>
      <c r="G11">
        <v>-39</v>
      </c>
      <c r="H11" s="1">
        <v>4152.04</v>
      </c>
      <c r="I11">
        <v>4.1520400000000004</v>
      </c>
      <c r="J11" s="52" t="e">
        <f>INDEX('Plano de Contas'!#REF!,MATCH(tbDez16[[#This Row],[Conta]],'Plano de Contas'!#REF!,0))</f>
        <v>#REF!</v>
      </c>
      <c r="K11" s="52" t="e">
        <f>INDEX('Plano de Contas'!#REF!,MATCH(tbDez16[[#This Row],[Conta]],'Plano de Contas'!#REF!,0))</f>
        <v>#REF!</v>
      </c>
      <c r="L11" t="e">
        <f>INDEX('Plano de Contas'!#REF!,MATCH(tbDez16[[#This Row],[Conta]],'Plano de Contas'!#REF!,0))</f>
        <v>#REF!</v>
      </c>
    </row>
    <row r="12" spans="1:12" x14ac:dyDescent="0.25">
      <c r="A12" t="s">
        <v>68</v>
      </c>
      <c r="B12" t="s">
        <v>1517</v>
      </c>
      <c r="C12" t="s">
        <v>1518</v>
      </c>
      <c r="D12">
        <v>16333.65</v>
      </c>
      <c r="E12">
        <v>0</v>
      </c>
      <c r="F12">
        <v>0</v>
      </c>
      <c r="G12">
        <v>0</v>
      </c>
      <c r="H12" s="1">
        <v>16333.65</v>
      </c>
      <c r="I12">
        <v>16.333649999999999</v>
      </c>
      <c r="J12" s="52" t="e">
        <f>INDEX('Plano de Contas'!#REF!,MATCH(tbDez16[[#This Row],[Conta]],'Plano de Contas'!#REF!,0))</f>
        <v>#REF!</v>
      </c>
      <c r="K12" s="52" t="e">
        <f>INDEX('Plano de Contas'!#REF!,MATCH(tbDez16[[#This Row],[Conta]],'Plano de Contas'!#REF!,0))</f>
        <v>#REF!</v>
      </c>
      <c r="L12" t="e">
        <f>INDEX('Plano de Contas'!#REF!,MATCH(tbDez16[[#This Row],[Conta]],'Plano de Contas'!#REF!,0))</f>
        <v>#REF!</v>
      </c>
    </row>
    <row r="13" spans="1:12" x14ac:dyDescent="0.25">
      <c r="A13" t="s">
        <v>1519</v>
      </c>
      <c r="B13" t="s">
        <v>1520</v>
      </c>
      <c r="C13" t="s">
        <v>1521</v>
      </c>
      <c r="D13">
        <v>2.23</v>
      </c>
      <c r="E13">
        <v>0</v>
      </c>
      <c r="F13">
        <v>0</v>
      </c>
      <c r="G13">
        <v>0</v>
      </c>
      <c r="H13" s="1">
        <v>2.23</v>
      </c>
      <c r="I13">
        <v>2.2299999999999998E-3</v>
      </c>
      <c r="J13" s="52" t="e">
        <f>INDEX('Plano de Contas'!#REF!,MATCH(tbDez16[[#This Row],[Conta]],'Plano de Contas'!#REF!,0))</f>
        <v>#REF!</v>
      </c>
      <c r="K13" s="52" t="e">
        <f>INDEX('Plano de Contas'!#REF!,MATCH(tbDez16[[#This Row],[Conta]],'Plano de Contas'!#REF!,0))</f>
        <v>#REF!</v>
      </c>
      <c r="L13" t="e">
        <f>INDEX('Plano de Contas'!#REF!,MATCH(tbDez16[[#This Row],[Conta]],'Plano de Contas'!#REF!,0))</f>
        <v>#REF!</v>
      </c>
    </row>
    <row r="14" spans="1:12" x14ac:dyDescent="0.25">
      <c r="A14" t="s">
        <v>983</v>
      </c>
      <c r="B14" t="s">
        <v>1522</v>
      </c>
      <c r="C14" t="s">
        <v>1523</v>
      </c>
      <c r="D14">
        <v>37655.040000000001</v>
      </c>
      <c r="E14">
        <v>0</v>
      </c>
      <c r="F14">
        <v>0</v>
      </c>
      <c r="G14">
        <v>0</v>
      </c>
      <c r="H14" s="1">
        <v>37655.040000000001</v>
      </c>
      <c r="I14">
        <v>37.65504</v>
      </c>
      <c r="J14" s="52" t="e">
        <f>INDEX('Plano de Contas'!#REF!,MATCH(tbDez16[[#This Row],[Conta]],'Plano de Contas'!#REF!,0))</f>
        <v>#REF!</v>
      </c>
      <c r="K14" s="52" t="e">
        <f>INDEX('Plano de Contas'!#REF!,MATCH(tbDez16[[#This Row],[Conta]],'Plano de Contas'!#REF!,0))</f>
        <v>#REF!</v>
      </c>
      <c r="L14" t="e">
        <f>INDEX('Plano de Contas'!#REF!,MATCH(tbDez16[[#This Row],[Conta]],'Plano de Contas'!#REF!,0))</f>
        <v>#REF!</v>
      </c>
    </row>
    <row r="15" spans="1:12" x14ac:dyDescent="0.25">
      <c r="A15" t="s">
        <v>76</v>
      </c>
      <c r="B15" t="s">
        <v>1524</v>
      </c>
      <c r="C15" t="s">
        <v>1525</v>
      </c>
      <c r="D15">
        <v>-37022.35</v>
      </c>
      <c r="E15">
        <v>15685092.710000001</v>
      </c>
      <c r="F15">
        <v>14275033.65</v>
      </c>
      <c r="G15">
        <v>1410059.0600000005</v>
      </c>
      <c r="H15" s="1">
        <v>1373036.71</v>
      </c>
      <c r="I15">
        <v>1373.0367099999999</v>
      </c>
      <c r="J15" s="52" t="e">
        <f>INDEX('Plano de Contas'!#REF!,MATCH(tbDez16[[#This Row],[Conta]],'Plano de Contas'!#REF!,0))</f>
        <v>#REF!</v>
      </c>
      <c r="K15" s="52" t="e">
        <f>INDEX('Plano de Contas'!#REF!,MATCH(tbDez16[[#This Row],[Conta]],'Plano de Contas'!#REF!,0))</f>
        <v>#REF!</v>
      </c>
      <c r="L15" t="e">
        <f>INDEX('Plano de Contas'!#REF!,MATCH(tbDez16[[#This Row],[Conta]],'Plano de Contas'!#REF!,0))</f>
        <v>#REF!</v>
      </c>
    </row>
    <row r="16" spans="1:12" x14ac:dyDescent="0.25">
      <c r="A16" t="s">
        <v>78</v>
      </c>
      <c r="B16" t="s">
        <v>1526</v>
      </c>
      <c r="C16" t="s">
        <v>1527</v>
      </c>
      <c r="D16">
        <v>4.3899999999999997</v>
      </c>
      <c r="E16">
        <v>0</v>
      </c>
      <c r="F16">
        <v>0</v>
      </c>
      <c r="G16">
        <v>0</v>
      </c>
      <c r="H16" s="1">
        <v>4.3899999999999997</v>
      </c>
      <c r="I16">
        <v>4.3899999999999998E-3</v>
      </c>
      <c r="J16" s="52" t="e">
        <f>INDEX('Plano de Contas'!#REF!,MATCH(tbDez16[[#This Row],[Conta]],'Plano de Contas'!#REF!,0))</f>
        <v>#REF!</v>
      </c>
      <c r="K16" s="52" t="e">
        <f>INDEX('Plano de Contas'!#REF!,MATCH(tbDez16[[#This Row],[Conta]],'Plano de Contas'!#REF!,0))</f>
        <v>#REF!</v>
      </c>
      <c r="L16" t="e">
        <f>INDEX('Plano de Contas'!#REF!,MATCH(tbDez16[[#This Row],[Conta]],'Plano de Contas'!#REF!,0))</f>
        <v>#REF!</v>
      </c>
    </row>
    <row r="17" spans="1:12" x14ac:dyDescent="0.25">
      <c r="A17" t="s">
        <v>80</v>
      </c>
      <c r="B17" t="s">
        <v>1528</v>
      </c>
      <c r="C17" t="s">
        <v>1529</v>
      </c>
      <c r="D17">
        <v>236176.7</v>
      </c>
      <c r="E17">
        <v>2726797.92</v>
      </c>
      <c r="F17">
        <v>2828868.17</v>
      </c>
      <c r="G17">
        <v>-102070.25</v>
      </c>
      <c r="H17" s="1">
        <v>134106.45000000001</v>
      </c>
      <c r="I17">
        <v>134.10645000000002</v>
      </c>
      <c r="J17" s="52" t="e">
        <f>INDEX('Plano de Contas'!#REF!,MATCH(tbDez16[[#This Row],[Conta]],'Plano de Contas'!#REF!,0))</f>
        <v>#REF!</v>
      </c>
      <c r="K17" s="52" t="e">
        <f>INDEX('Plano de Contas'!#REF!,MATCH(tbDez16[[#This Row],[Conta]],'Plano de Contas'!#REF!,0))</f>
        <v>#REF!</v>
      </c>
      <c r="L17" t="e">
        <f>INDEX('Plano de Contas'!#REF!,MATCH(tbDez16[[#This Row],[Conta]],'Plano de Contas'!#REF!,0))</f>
        <v>#REF!</v>
      </c>
    </row>
    <row r="18" spans="1:12" x14ac:dyDescent="0.25">
      <c r="A18" t="s">
        <v>84</v>
      </c>
      <c r="B18" t="s">
        <v>1530</v>
      </c>
      <c r="C18" t="s">
        <v>1531</v>
      </c>
      <c r="D18">
        <v>-3000</v>
      </c>
      <c r="E18">
        <v>39258.6</v>
      </c>
      <c r="F18">
        <v>38758.6</v>
      </c>
      <c r="G18">
        <v>500</v>
      </c>
      <c r="H18" s="1">
        <v>-2500</v>
      </c>
      <c r="I18">
        <v>-2.5</v>
      </c>
      <c r="J18" s="52" t="e">
        <f>INDEX('Plano de Contas'!#REF!,MATCH(tbDez16[[#This Row],[Conta]],'Plano de Contas'!#REF!,0))</f>
        <v>#REF!</v>
      </c>
      <c r="K18" s="52" t="e">
        <f>INDEX('Plano de Contas'!#REF!,MATCH(tbDez16[[#This Row],[Conta]],'Plano de Contas'!#REF!,0))</f>
        <v>#REF!</v>
      </c>
      <c r="L18" t="e">
        <f>INDEX('Plano de Contas'!#REF!,MATCH(tbDez16[[#This Row],[Conta]],'Plano de Contas'!#REF!,0))</f>
        <v>#REF!</v>
      </c>
    </row>
    <row r="19" spans="1:12" x14ac:dyDescent="0.25">
      <c r="A19" t="s">
        <v>88</v>
      </c>
      <c r="B19" t="s">
        <v>1532</v>
      </c>
      <c r="C19" t="s">
        <v>1533</v>
      </c>
      <c r="D19">
        <v>78837039.319999993</v>
      </c>
      <c r="E19">
        <v>5539140.8099999996</v>
      </c>
      <c r="F19">
        <v>9352083.6999999993</v>
      </c>
      <c r="G19">
        <v>-3812942.8899999997</v>
      </c>
      <c r="H19" s="1">
        <v>75024096.430000007</v>
      </c>
      <c r="I19">
        <v>75024.096430000005</v>
      </c>
      <c r="J19" s="52" t="e">
        <f>INDEX('Plano de Contas'!#REF!,MATCH(tbDez16[[#This Row],[Conta]],'Plano de Contas'!#REF!,0))</f>
        <v>#REF!</v>
      </c>
      <c r="K19" s="52" t="e">
        <f>INDEX('Plano de Contas'!#REF!,MATCH(tbDez16[[#This Row],[Conta]],'Plano de Contas'!#REF!,0))</f>
        <v>#REF!</v>
      </c>
      <c r="L19" t="e">
        <f>INDEX('Plano de Contas'!#REF!,MATCH(tbDez16[[#This Row],[Conta]],'Plano de Contas'!#REF!,0))</f>
        <v>#REF!</v>
      </c>
    </row>
    <row r="20" spans="1:12" x14ac:dyDescent="0.25">
      <c r="A20" t="s">
        <v>989</v>
      </c>
      <c r="B20" t="s">
        <v>1534</v>
      </c>
      <c r="C20" t="s">
        <v>1535</v>
      </c>
      <c r="D20">
        <v>1529814.23</v>
      </c>
      <c r="E20">
        <v>1616597.73</v>
      </c>
      <c r="F20">
        <v>1446288.34</v>
      </c>
      <c r="G20">
        <v>170309.3899999999</v>
      </c>
      <c r="H20" s="1">
        <v>1700123.62</v>
      </c>
      <c r="I20">
        <v>1700.1236200000001</v>
      </c>
      <c r="J20" s="52" t="e">
        <f>INDEX('Plano de Contas'!#REF!,MATCH(tbDez16[[#This Row],[Conta]],'Plano de Contas'!#REF!,0))</f>
        <v>#REF!</v>
      </c>
      <c r="K20" s="52" t="e">
        <f>INDEX('Plano de Contas'!#REF!,MATCH(tbDez16[[#This Row],[Conta]],'Plano de Contas'!#REF!,0))</f>
        <v>#REF!</v>
      </c>
      <c r="L20" t="e">
        <f>INDEX('Plano de Contas'!#REF!,MATCH(tbDez16[[#This Row],[Conta]],'Plano de Contas'!#REF!,0))</f>
        <v>#REF!</v>
      </c>
    </row>
    <row r="21" spans="1:12" x14ac:dyDescent="0.25">
      <c r="A21" t="s">
        <v>90</v>
      </c>
      <c r="B21" t="s">
        <v>1536</v>
      </c>
      <c r="C21" t="s">
        <v>1537</v>
      </c>
      <c r="D21">
        <v>5005105.4800000004</v>
      </c>
      <c r="E21">
        <v>330443.64</v>
      </c>
      <c r="F21">
        <v>0</v>
      </c>
      <c r="G21">
        <v>330443.64</v>
      </c>
      <c r="H21" s="1">
        <v>5335549.12</v>
      </c>
      <c r="I21">
        <v>5335.5491199999997</v>
      </c>
      <c r="J21" s="52" t="e">
        <f>INDEX('Plano de Contas'!#REF!,MATCH(tbDez16[[#This Row],[Conta]],'Plano de Contas'!#REF!,0))</f>
        <v>#REF!</v>
      </c>
      <c r="K21" s="52" t="e">
        <f>INDEX('Plano de Contas'!#REF!,MATCH(tbDez16[[#This Row],[Conta]],'Plano de Contas'!#REF!,0))</f>
        <v>#REF!</v>
      </c>
      <c r="L21" t="e">
        <f>INDEX('Plano de Contas'!#REF!,MATCH(tbDez16[[#This Row],[Conta]],'Plano de Contas'!#REF!,0))</f>
        <v>#REF!</v>
      </c>
    </row>
    <row r="22" spans="1:12" x14ac:dyDescent="0.25">
      <c r="A22" t="s">
        <v>1131</v>
      </c>
      <c r="B22" t="s">
        <v>1538</v>
      </c>
      <c r="C22" t="s">
        <v>1539</v>
      </c>
      <c r="D22">
        <v>14509287.050000001</v>
      </c>
      <c r="E22">
        <v>1332208.43</v>
      </c>
      <c r="F22">
        <v>33265.74</v>
      </c>
      <c r="G22">
        <v>1298942.69</v>
      </c>
      <c r="H22" s="1">
        <v>15808229.74</v>
      </c>
      <c r="I22">
        <v>15808.229740000001</v>
      </c>
      <c r="J22" s="52" t="e">
        <f>INDEX('Plano de Contas'!#REF!,MATCH(tbDez16[[#This Row],[Conta]],'Plano de Contas'!#REF!,0))</f>
        <v>#REF!</v>
      </c>
      <c r="K22" s="52" t="e">
        <f>INDEX('Plano de Contas'!#REF!,MATCH(tbDez16[[#This Row],[Conta]],'Plano de Contas'!#REF!,0))</f>
        <v>#REF!</v>
      </c>
      <c r="L22" t="e">
        <f>INDEX('Plano de Contas'!#REF!,MATCH(tbDez16[[#This Row],[Conta]],'Plano de Contas'!#REF!,0))</f>
        <v>#REF!</v>
      </c>
    </row>
    <row r="23" spans="1:12" x14ac:dyDescent="0.25">
      <c r="A23" t="s">
        <v>94</v>
      </c>
      <c r="B23" t="s">
        <v>1540</v>
      </c>
      <c r="C23" t="s">
        <v>1541</v>
      </c>
      <c r="D23">
        <v>128541.06</v>
      </c>
      <c r="E23">
        <v>95412.82</v>
      </c>
      <c r="F23">
        <v>0</v>
      </c>
      <c r="G23">
        <v>95412.82</v>
      </c>
      <c r="H23" s="1">
        <v>223953.88</v>
      </c>
      <c r="I23">
        <v>223.95388</v>
      </c>
      <c r="J23" s="52" t="e">
        <f>INDEX('Plano de Contas'!#REF!,MATCH(tbDez16[[#This Row],[Conta]],'Plano de Contas'!#REF!,0))</f>
        <v>#REF!</v>
      </c>
      <c r="K23" s="52" t="e">
        <f>INDEX('Plano de Contas'!#REF!,MATCH(tbDez16[[#This Row],[Conta]],'Plano de Contas'!#REF!,0))</f>
        <v>#REF!</v>
      </c>
      <c r="L23" t="e">
        <f>INDEX('Plano de Contas'!#REF!,MATCH(tbDez16[[#This Row],[Conta]],'Plano de Contas'!#REF!,0))</f>
        <v>#REF!</v>
      </c>
    </row>
    <row r="24" spans="1:12" x14ac:dyDescent="0.25">
      <c r="A24" t="s">
        <v>96</v>
      </c>
      <c r="B24" t="s">
        <v>1542</v>
      </c>
      <c r="C24" t="s">
        <v>1543</v>
      </c>
      <c r="D24">
        <v>7030008.8300000001</v>
      </c>
      <c r="E24">
        <v>235827.42</v>
      </c>
      <c r="F24">
        <v>2234188.2599999998</v>
      </c>
      <c r="G24">
        <v>-1998360.8399999999</v>
      </c>
      <c r="H24" s="1">
        <v>5031647.99</v>
      </c>
      <c r="I24">
        <v>5031.6479900000004</v>
      </c>
      <c r="J24" s="52" t="e">
        <f>INDEX('Plano de Contas'!#REF!,MATCH(tbDez16[[#This Row],[Conta]],'Plano de Contas'!#REF!,0))</f>
        <v>#REF!</v>
      </c>
      <c r="K24" s="52" t="e">
        <f>INDEX('Plano de Contas'!#REF!,MATCH(tbDez16[[#This Row],[Conta]],'Plano de Contas'!#REF!,0))</f>
        <v>#REF!</v>
      </c>
      <c r="L24" t="e">
        <f>INDEX('Plano de Contas'!#REF!,MATCH(tbDez16[[#This Row],[Conta]],'Plano de Contas'!#REF!,0))</f>
        <v>#REF!</v>
      </c>
    </row>
    <row r="25" spans="1:12" x14ac:dyDescent="0.25">
      <c r="A25" t="s">
        <v>102</v>
      </c>
      <c r="B25" t="s">
        <v>1544</v>
      </c>
      <c r="C25" t="s">
        <v>1545</v>
      </c>
      <c r="D25">
        <v>17961018.609999999</v>
      </c>
      <c r="E25">
        <v>641063.14</v>
      </c>
      <c r="F25">
        <v>3341818.39</v>
      </c>
      <c r="G25">
        <v>-2700755.25</v>
      </c>
      <c r="H25" s="1">
        <v>15260263.359999999</v>
      </c>
      <c r="I25">
        <v>15260.263359999999</v>
      </c>
      <c r="J25" s="52" t="e">
        <f>INDEX('Plano de Contas'!#REF!,MATCH(tbDez16[[#This Row],[Conta]],'Plano de Contas'!#REF!,0))</f>
        <v>#REF!</v>
      </c>
      <c r="K25" s="52" t="e">
        <f>INDEX('Plano de Contas'!#REF!,MATCH(tbDez16[[#This Row],[Conta]],'Plano de Contas'!#REF!,0))</f>
        <v>#REF!</v>
      </c>
      <c r="L25" t="e">
        <f>INDEX('Plano de Contas'!#REF!,MATCH(tbDez16[[#This Row],[Conta]],'Plano de Contas'!#REF!,0))</f>
        <v>#REF!</v>
      </c>
    </row>
    <row r="26" spans="1:12" x14ac:dyDescent="0.25">
      <c r="A26" t="s">
        <v>106</v>
      </c>
      <c r="B26" t="s">
        <v>1546</v>
      </c>
      <c r="C26" t="s">
        <v>1547</v>
      </c>
      <c r="D26">
        <v>24341692.289999999</v>
      </c>
      <c r="E26">
        <v>267866.8</v>
      </c>
      <c r="F26">
        <v>39319.839999999997</v>
      </c>
      <c r="G26">
        <v>228546.96</v>
      </c>
      <c r="H26" s="1">
        <v>24570239.25</v>
      </c>
      <c r="I26">
        <v>24570.239249999999</v>
      </c>
      <c r="J26" s="52" t="e">
        <f>INDEX('Plano de Contas'!#REF!,MATCH(tbDez16[[#This Row],[Conta]],'Plano de Contas'!#REF!,0))</f>
        <v>#REF!</v>
      </c>
      <c r="K26" s="52" t="e">
        <f>INDEX('Plano de Contas'!#REF!,MATCH(tbDez16[[#This Row],[Conta]],'Plano de Contas'!#REF!,0))</f>
        <v>#REF!</v>
      </c>
      <c r="L26" t="e">
        <f>INDEX('Plano de Contas'!#REF!,MATCH(tbDez16[[#This Row],[Conta]],'Plano de Contas'!#REF!,0))</f>
        <v>#REF!</v>
      </c>
    </row>
    <row r="27" spans="1:12" x14ac:dyDescent="0.25">
      <c r="A27" t="s">
        <v>108</v>
      </c>
      <c r="B27" t="s">
        <v>1548</v>
      </c>
      <c r="C27" t="s">
        <v>1549</v>
      </c>
      <c r="D27">
        <v>2248535.58</v>
      </c>
      <c r="E27">
        <v>1228.68</v>
      </c>
      <c r="F27">
        <v>2241447.1</v>
      </c>
      <c r="G27">
        <v>-2240218.42</v>
      </c>
      <c r="H27" s="1">
        <v>8317.16</v>
      </c>
      <c r="I27">
        <v>8.3171599999999994</v>
      </c>
      <c r="J27" s="52" t="e">
        <f>INDEX('Plano de Contas'!#REF!,MATCH(tbDez16[[#This Row],[Conta]],'Plano de Contas'!#REF!,0))</f>
        <v>#REF!</v>
      </c>
      <c r="K27" s="52" t="e">
        <f>INDEX('Plano de Contas'!#REF!,MATCH(tbDez16[[#This Row],[Conta]],'Plano de Contas'!#REF!,0))</f>
        <v>#REF!</v>
      </c>
      <c r="L27" t="e">
        <f>INDEX('Plano de Contas'!#REF!,MATCH(tbDez16[[#This Row],[Conta]],'Plano de Contas'!#REF!,0))</f>
        <v>#REF!</v>
      </c>
    </row>
    <row r="28" spans="1:12" x14ac:dyDescent="0.25">
      <c r="A28" t="s">
        <v>1550</v>
      </c>
      <c r="B28" t="s">
        <v>1551</v>
      </c>
      <c r="C28" t="s">
        <v>1552</v>
      </c>
      <c r="D28">
        <v>5684327.25</v>
      </c>
      <c r="E28">
        <v>1014923.11</v>
      </c>
      <c r="F28">
        <v>0</v>
      </c>
      <c r="G28">
        <v>1014923.11</v>
      </c>
      <c r="H28" s="1">
        <v>6699250.3600000003</v>
      </c>
      <c r="I28">
        <v>6699.25036</v>
      </c>
      <c r="J28" s="52" t="e">
        <f>INDEX('Plano de Contas'!#REF!,MATCH(tbDez16[[#This Row],[Conta]],'Plano de Contas'!#REF!,0))</f>
        <v>#REF!</v>
      </c>
      <c r="K28" s="52" t="e">
        <f>INDEX('Plano de Contas'!#REF!,MATCH(tbDez16[[#This Row],[Conta]],'Plano de Contas'!#REF!,0))</f>
        <v>#REF!</v>
      </c>
      <c r="L28" t="e">
        <f>INDEX('Plano de Contas'!#REF!,MATCH(tbDez16[[#This Row],[Conta]],'Plano de Contas'!#REF!,0))</f>
        <v>#REF!</v>
      </c>
    </row>
    <row r="29" spans="1:12" x14ac:dyDescent="0.25">
      <c r="A29" t="s">
        <v>1133</v>
      </c>
      <c r="B29" t="s">
        <v>1553</v>
      </c>
      <c r="C29" t="s">
        <v>1554</v>
      </c>
      <c r="D29">
        <v>152415.85</v>
      </c>
      <c r="E29">
        <v>3097.8</v>
      </c>
      <c r="F29">
        <v>697</v>
      </c>
      <c r="G29">
        <v>2400.8000000000002</v>
      </c>
      <c r="H29" s="1">
        <v>154816.65</v>
      </c>
      <c r="I29">
        <v>154.81664999999998</v>
      </c>
      <c r="J29" s="52" t="e">
        <f>INDEX('Plano de Contas'!#REF!,MATCH(tbDez16[[#This Row],[Conta]],'Plano de Contas'!#REF!,0))</f>
        <v>#REF!</v>
      </c>
      <c r="K29" s="52" t="e">
        <f>INDEX('Plano de Contas'!#REF!,MATCH(tbDez16[[#This Row],[Conta]],'Plano de Contas'!#REF!,0))</f>
        <v>#REF!</v>
      </c>
      <c r="L29" t="e">
        <f>INDEX('Plano de Contas'!#REF!,MATCH(tbDez16[[#This Row],[Conta]],'Plano de Contas'!#REF!,0))</f>
        <v>#REF!</v>
      </c>
    </row>
    <row r="30" spans="1:12" x14ac:dyDescent="0.25">
      <c r="A30" t="s">
        <v>1135</v>
      </c>
      <c r="B30" t="s">
        <v>1555</v>
      </c>
      <c r="C30" t="s">
        <v>1556</v>
      </c>
      <c r="D30">
        <v>206209.58</v>
      </c>
      <c r="E30">
        <v>17.510000000000002</v>
      </c>
      <c r="F30">
        <v>3.94</v>
      </c>
      <c r="G30">
        <v>13.570000000000002</v>
      </c>
      <c r="H30" s="1">
        <v>206223.15</v>
      </c>
      <c r="I30">
        <v>206.22315</v>
      </c>
      <c r="J30" s="52" t="e">
        <f>INDEX('Plano de Contas'!#REF!,MATCH(tbDez16[[#This Row],[Conta]],'Plano de Contas'!#REF!,0))</f>
        <v>#REF!</v>
      </c>
      <c r="K30" s="52" t="e">
        <f>INDEX('Plano de Contas'!#REF!,MATCH(tbDez16[[#This Row],[Conta]],'Plano de Contas'!#REF!,0))</f>
        <v>#REF!</v>
      </c>
      <c r="L30" t="e">
        <f>INDEX('Plano de Contas'!#REF!,MATCH(tbDez16[[#This Row],[Conta]],'Plano de Contas'!#REF!,0))</f>
        <v>#REF!</v>
      </c>
    </row>
    <row r="31" spans="1:12" x14ac:dyDescent="0.25">
      <c r="A31" t="s">
        <v>1137</v>
      </c>
      <c r="B31" t="s">
        <v>1557</v>
      </c>
      <c r="C31" t="s">
        <v>1558</v>
      </c>
      <c r="D31">
        <v>18658.62</v>
      </c>
      <c r="E31">
        <v>367.21</v>
      </c>
      <c r="F31">
        <v>82.61</v>
      </c>
      <c r="G31">
        <v>284.59999999999997</v>
      </c>
      <c r="H31" s="1">
        <v>18943.22</v>
      </c>
      <c r="I31">
        <v>18.94322</v>
      </c>
      <c r="J31" s="52" t="e">
        <f>INDEX('Plano de Contas'!#REF!,MATCH(tbDez16[[#This Row],[Conta]],'Plano de Contas'!#REF!,0))</f>
        <v>#REF!</v>
      </c>
      <c r="K31" s="52" t="e">
        <f>INDEX('Plano de Contas'!#REF!,MATCH(tbDez16[[#This Row],[Conta]],'Plano de Contas'!#REF!,0))</f>
        <v>#REF!</v>
      </c>
      <c r="L31" t="e">
        <f>INDEX('Plano de Contas'!#REF!,MATCH(tbDez16[[#This Row],[Conta]],'Plano de Contas'!#REF!,0))</f>
        <v>#REF!</v>
      </c>
    </row>
    <row r="32" spans="1:12" x14ac:dyDescent="0.25">
      <c r="A32" t="s">
        <v>1143</v>
      </c>
      <c r="B32" t="s">
        <v>1559</v>
      </c>
      <c r="C32" t="s">
        <v>1560</v>
      </c>
      <c r="D32">
        <v>14972.48</v>
      </c>
      <c r="E32">
        <v>0</v>
      </c>
      <c r="F32">
        <v>14972.48</v>
      </c>
      <c r="G32">
        <v>-14972.48</v>
      </c>
      <c r="H32" s="1">
        <v>0</v>
      </c>
      <c r="I32">
        <v>0</v>
      </c>
      <c r="J32" s="52" t="e">
        <f>INDEX('Plano de Contas'!#REF!,MATCH(tbDez16[[#This Row],[Conta]],'Plano de Contas'!#REF!,0))</f>
        <v>#REF!</v>
      </c>
      <c r="K32" s="52" t="e">
        <f>INDEX('Plano de Contas'!#REF!,MATCH(tbDez16[[#This Row],[Conta]],'Plano de Contas'!#REF!,0))</f>
        <v>#REF!</v>
      </c>
      <c r="L32" t="e">
        <f>INDEX('Plano de Contas'!#REF!,MATCH(tbDez16[[#This Row],[Conta]],'Plano de Contas'!#REF!,0))</f>
        <v>#REF!</v>
      </c>
    </row>
    <row r="33" spans="1:12" x14ac:dyDescent="0.25">
      <c r="A33" t="s">
        <v>1561</v>
      </c>
      <c r="B33" t="s">
        <v>1562</v>
      </c>
      <c r="C33" t="s">
        <v>1563</v>
      </c>
      <c r="D33">
        <v>6452.41</v>
      </c>
      <c r="E33">
        <v>86.52</v>
      </c>
      <c r="F33">
        <v>0</v>
      </c>
      <c r="G33">
        <v>86.52</v>
      </c>
      <c r="H33" s="1">
        <v>6538.93</v>
      </c>
      <c r="I33">
        <v>6.5389300000000006</v>
      </c>
      <c r="J33" s="52" t="e">
        <f>INDEX('Plano de Contas'!#REF!,MATCH(tbDez16[[#This Row],[Conta]],'Plano de Contas'!#REF!,0))</f>
        <v>#REF!</v>
      </c>
      <c r="K33" s="52" t="e">
        <f>INDEX('Plano de Contas'!#REF!,MATCH(tbDez16[[#This Row],[Conta]],'Plano de Contas'!#REF!,0))</f>
        <v>#REF!</v>
      </c>
      <c r="L33" t="e">
        <f>INDEX('Plano de Contas'!#REF!,MATCH(tbDez16[[#This Row],[Conta]],'Plano de Contas'!#REF!,0))</f>
        <v>#REF!</v>
      </c>
    </row>
    <row r="34" spans="1:12" x14ac:dyDescent="0.25">
      <c r="A34" t="s">
        <v>110</v>
      </c>
      <c r="B34" t="s">
        <v>1564</v>
      </c>
      <c r="C34" t="s">
        <v>1565</v>
      </c>
      <c r="D34">
        <v>21014868.16</v>
      </c>
      <c r="E34">
        <v>19489889.379999999</v>
      </c>
      <c r="F34">
        <v>26380127.760000002</v>
      </c>
      <c r="G34">
        <v>-6890238.3800000027</v>
      </c>
      <c r="H34" s="1">
        <v>14124629.779999999</v>
      </c>
      <c r="I34">
        <v>14124.629779999999</v>
      </c>
      <c r="J34" s="52" t="e">
        <f>INDEX('Plano de Contas'!#REF!,MATCH(tbDez16[[#This Row],[Conta]],'Plano de Contas'!#REF!,0))</f>
        <v>#REF!</v>
      </c>
      <c r="K34" s="52" t="e">
        <f>INDEX('Plano de Contas'!#REF!,MATCH(tbDez16[[#This Row],[Conta]],'Plano de Contas'!#REF!,0))</f>
        <v>#REF!</v>
      </c>
      <c r="L34" t="e">
        <f>INDEX('Plano de Contas'!#REF!,MATCH(tbDez16[[#This Row],[Conta]],'Plano de Contas'!#REF!,0))</f>
        <v>#REF!</v>
      </c>
    </row>
    <row r="35" spans="1:12" x14ac:dyDescent="0.25">
      <c r="A35" t="s">
        <v>112</v>
      </c>
      <c r="B35" t="s">
        <v>1566</v>
      </c>
      <c r="C35" t="s">
        <v>1567</v>
      </c>
      <c r="D35">
        <v>3756501.51</v>
      </c>
      <c r="E35">
        <v>14792147.199999999</v>
      </c>
      <c r="F35">
        <v>13176600.710000001</v>
      </c>
      <c r="G35">
        <v>1615546.4899999984</v>
      </c>
      <c r="H35" s="1">
        <v>5372048</v>
      </c>
      <c r="I35">
        <v>5372.0479999999998</v>
      </c>
      <c r="J35" s="52" t="e">
        <f>INDEX('Plano de Contas'!#REF!,MATCH(tbDez16[[#This Row],[Conta]],'Plano de Contas'!#REF!,0))</f>
        <v>#REF!</v>
      </c>
      <c r="K35" s="52" t="e">
        <f>INDEX('Plano de Contas'!#REF!,MATCH(tbDez16[[#This Row],[Conta]],'Plano de Contas'!#REF!,0))</f>
        <v>#REF!</v>
      </c>
      <c r="L35" t="e">
        <f>INDEX('Plano de Contas'!#REF!,MATCH(tbDez16[[#This Row],[Conta]],'Plano de Contas'!#REF!,0))</f>
        <v>#REF!</v>
      </c>
    </row>
    <row r="36" spans="1:12" x14ac:dyDescent="0.25">
      <c r="A36" t="s">
        <v>114</v>
      </c>
      <c r="B36" t="s">
        <v>1568</v>
      </c>
      <c r="C36" t="s">
        <v>1569</v>
      </c>
      <c r="D36">
        <v>5935641.0800000001</v>
      </c>
      <c r="E36">
        <v>14792147.199999999</v>
      </c>
      <c r="F36">
        <v>11552668.51</v>
      </c>
      <c r="G36">
        <v>3239478.6899999995</v>
      </c>
      <c r="H36" s="1">
        <v>9175119.7699999996</v>
      </c>
      <c r="I36">
        <v>9175.1197699999993</v>
      </c>
      <c r="J36" s="52" t="e">
        <f>INDEX('Plano de Contas'!#REF!,MATCH(tbDez16[[#This Row],[Conta]],'Plano de Contas'!#REF!,0))</f>
        <v>#REF!</v>
      </c>
      <c r="K36" s="52" t="e">
        <f>INDEX('Plano de Contas'!#REF!,MATCH(tbDez16[[#This Row],[Conta]],'Plano de Contas'!#REF!,0))</f>
        <v>#REF!</v>
      </c>
      <c r="L36" t="e">
        <f>INDEX('Plano de Contas'!#REF!,MATCH(tbDez16[[#This Row],[Conta]],'Plano de Contas'!#REF!,0))</f>
        <v>#REF!</v>
      </c>
    </row>
    <row r="37" spans="1:12" x14ac:dyDescent="0.25">
      <c r="A37" t="s">
        <v>995</v>
      </c>
      <c r="B37" t="s">
        <v>1570</v>
      </c>
      <c r="C37" t="s">
        <v>1571</v>
      </c>
      <c r="D37">
        <v>-1395908.06</v>
      </c>
      <c r="E37">
        <v>0</v>
      </c>
      <c r="F37">
        <v>634494.28</v>
      </c>
      <c r="G37">
        <v>-634494.28</v>
      </c>
      <c r="H37" s="1">
        <v>-2030402.34</v>
      </c>
      <c r="I37">
        <v>-2030.4023400000001</v>
      </c>
      <c r="J37" s="52" t="e">
        <f>INDEX('Plano de Contas'!#REF!,MATCH(tbDez16[[#This Row],[Conta]],'Plano de Contas'!#REF!,0))</f>
        <v>#REF!</v>
      </c>
      <c r="K37" s="52" t="e">
        <f>INDEX('Plano de Contas'!#REF!,MATCH(tbDez16[[#This Row],[Conta]],'Plano de Contas'!#REF!,0))</f>
        <v>#REF!</v>
      </c>
      <c r="L37" t="e">
        <f>INDEX('Plano de Contas'!#REF!,MATCH(tbDez16[[#This Row],[Conta]],'Plano de Contas'!#REF!,0))</f>
        <v>#REF!</v>
      </c>
    </row>
    <row r="38" spans="1:12" x14ac:dyDescent="0.25">
      <c r="A38" t="s">
        <v>116</v>
      </c>
      <c r="B38" t="s">
        <v>1572</v>
      </c>
      <c r="C38" t="s">
        <v>1573</v>
      </c>
      <c r="D38">
        <v>-783231.51</v>
      </c>
      <c r="E38">
        <v>0</v>
      </c>
      <c r="F38">
        <v>989437.92</v>
      </c>
      <c r="G38">
        <v>-989437.92</v>
      </c>
      <c r="H38" s="1">
        <v>-1772669.43</v>
      </c>
      <c r="I38">
        <v>-1772.6694299999999</v>
      </c>
      <c r="J38" s="52" t="e">
        <f>INDEX('Plano de Contas'!#REF!,MATCH(tbDez16[[#This Row],[Conta]],'Plano de Contas'!#REF!,0))</f>
        <v>#REF!</v>
      </c>
      <c r="K38" s="52" t="e">
        <f>INDEX('Plano de Contas'!#REF!,MATCH(tbDez16[[#This Row],[Conta]],'Plano de Contas'!#REF!,0))</f>
        <v>#REF!</v>
      </c>
      <c r="L38" t="e">
        <f>INDEX('Plano de Contas'!#REF!,MATCH(tbDez16[[#This Row],[Conta]],'Plano de Contas'!#REF!,0))</f>
        <v>#REF!</v>
      </c>
    </row>
    <row r="39" spans="1:12" x14ac:dyDescent="0.25">
      <c r="A39" t="s">
        <v>122</v>
      </c>
      <c r="B39" t="s">
        <v>1574</v>
      </c>
      <c r="C39" t="s">
        <v>1575</v>
      </c>
      <c r="D39">
        <v>350536.47</v>
      </c>
      <c r="E39">
        <v>575112.38</v>
      </c>
      <c r="F39">
        <v>319303.94</v>
      </c>
      <c r="G39">
        <v>255808.44</v>
      </c>
      <c r="H39" s="1">
        <v>606344.91</v>
      </c>
      <c r="I39">
        <v>606.34491000000003</v>
      </c>
      <c r="J39" s="52" t="e">
        <f>INDEX('Plano de Contas'!#REF!,MATCH(tbDez16[[#This Row],[Conta]],'Plano de Contas'!#REF!,0))</f>
        <v>#REF!</v>
      </c>
      <c r="K39" s="52" t="e">
        <f>INDEX('Plano de Contas'!#REF!,MATCH(tbDez16[[#This Row],[Conta]],'Plano de Contas'!#REF!,0))</f>
        <v>#REF!</v>
      </c>
      <c r="L39" t="e">
        <f>INDEX('Plano de Contas'!#REF!,MATCH(tbDez16[[#This Row],[Conta]],'Plano de Contas'!#REF!,0))</f>
        <v>#REF!</v>
      </c>
    </row>
    <row r="40" spans="1:12" x14ac:dyDescent="0.25">
      <c r="A40" t="s">
        <v>124</v>
      </c>
      <c r="B40" t="s">
        <v>1576</v>
      </c>
      <c r="C40" t="s">
        <v>1577</v>
      </c>
      <c r="D40">
        <v>297530.43</v>
      </c>
      <c r="E40">
        <v>57312.23</v>
      </c>
      <c r="F40">
        <v>53306.93</v>
      </c>
      <c r="G40">
        <v>4005.3000000000029</v>
      </c>
      <c r="H40" s="1">
        <v>301535.73</v>
      </c>
      <c r="I40">
        <v>301.53573</v>
      </c>
      <c r="J40" s="52" t="e">
        <f>INDEX('Plano de Contas'!#REF!,MATCH(tbDez16[[#This Row],[Conta]],'Plano de Contas'!#REF!,0))</f>
        <v>#REF!</v>
      </c>
      <c r="K40" s="52" t="e">
        <f>INDEX('Plano de Contas'!#REF!,MATCH(tbDez16[[#This Row],[Conta]],'Plano de Contas'!#REF!,0))</f>
        <v>#REF!</v>
      </c>
      <c r="L40" t="e">
        <f>INDEX('Plano de Contas'!#REF!,MATCH(tbDez16[[#This Row],[Conta]],'Plano de Contas'!#REF!,0))</f>
        <v>#REF!</v>
      </c>
    </row>
    <row r="41" spans="1:12" x14ac:dyDescent="0.25">
      <c r="A41" t="s">
        <v>126</v>
      </c>
      <c r="B41" t="s">
        <v>1578</v>
      </c>
      <c r="C41" t="s">
        <v>1579</v>
      </c>
      <c r="D41">
        <v>29049.200000000001</v>
      </c>
      <c r="E41">
        <v>514281.52</v>
      </c>
      <c r="F41">
        <v>261097.01</v>
      </c>
      <c r="G41">
        <v>253184.51</v>
      </c>
      <c r="H41" s="1">
        <v>282233.71000000002</v>
      </c>
      <c r="I41">
        <v>282.23371000000003</v>
      </c>
      <c r="J41" s="52" t="e">
        <f>INDEX('Plano de Contas'!#REF!,MATCH(tbDez16[[#This Row],[Conta]],'Plano de Contas'!#REF!,0))</f>
        <v>#REF!</v>
      </c>
      <c r="K41" s="52" t="e">
        <f>INDEX('Plano de Contas'!#REF!,MATCH(tbDez16[[#This Row],[Conta]],'Plano de Contas'!#REF!,0))</f>
        <v>#REF!</v>
      </c>
      <c r="L41" t="e">
        <f>INDEX('Plano de Contas'!#REF!,MATCH(tbDez16[[#This Row],[Conta]],'Plano de Contas'!#REF!,0))</f>
        <v>#REF!</v>
      </c>
    </row>
    <row r="42" spans="1:12" x14ac:dyDescent="0.25">
      <c r="A42" t="s">
        <v>128</v>
      </c>
      <c r="B42" t="s">
        <v>1580</v>
      </c>
      <c r="C42" t="s">
        <v>1581</v>
      </c>
      <c r="D42">
        <v>5880</v>
      </c>
      <c r="E42">
        <v>0</v>
      </c>
      <c r="F42">
        <v>0</v>
      </c>
      <c r="G42">
        <v>0</v>
      </c>
      <c r="H42" s="1">
        <v>5880</v>
      </c>
      <c r="I42">
        <v>5.88</v>
      </c>
      <c r="J42" s="52" t="e">
        <f>INDEX('Plano de Contas'!#REF!,MATCH(tbDez16[[#This Row],[Conta]],'Plano de Contas'!#REF!,0))</f>
        <v>#REF!</v>
      </c>
      <c r="K42" s="52" t="e">
        <f>INDEX('Plano de Contas'!#REF!,MATCH(tbDez16[[#This Row],[Conta]],'Plano de Contas'!#REF!,0))</f>
        <v>#REF!</v>
      </c>
      <c r="L42" t="e">
        <f>INDEX('Plano de Contas'!#REF!,MATCH(tbDez16[[#This Row],[Conta]],'Plano de Contas'!#REF!,0))</f>
        <v>#REF!</v>
      </c>
    </row>
    <row r="43" spans="1:12" x14ac:dyDescent="0.25">
      <c r="A43" t="s">
        <v>130</v>
      </c>
      <c r="B43" t="s">
        <v>1582</v>
      </c>
      <c r="C43" t="s">
        <v>1583</v>
      </c>
      <c r="D43">
        <v>294.22000000000003</v>
      </c>
      <c r="E43">
        <v>0</v>
      </c>
      <c r="F43">
        <v>0</v>
      </c>
      <c r="G43">
        <v>0</v>
      </c>
      <c r="H43" s="1">
        <v>294.22000000000003</v>
      </c>
      <c r="I43">
        <v>0.29422000000000004</v>
      </c>
      <c r="J43" s="52" t="e">
        <f>INDEX('Plano de Contas'!#REF!,MATCH(tbDez16[[#This Row],[Conta]],'Plano de Contas'!#REF!,0))</f>
        <v>#REF!</v>
      </c>
      <c r="K43" s="52" t="e">
        <f>INDEX('Plano de Contas'!#REF!,MATCH(tbDez16[[#This Row],[Conta]],'Plano de Contas'!#REF!,0))</f>
        <v>#REF!</v>
      </c>
      <c r="L43" t="e">
        <f>INDEX('Plano de Contas'!#REF!,MATCH(tbDez16[[#This Row],[Conta]],'Plano de Contas'!#REF!,0))</f>
        <v>#REF!</v>
      </c>
    </row>
    <row r="44" spans="1:12" x14ac:dyDescent="0.25">
      <c r="A44" t="s">
        <v>132</v>
      </c>
      <c r="B44" t="s">
        <v>1584</v>
      </c>
      <c r="C44" t="s">
        <v>1585</v>
      </c>
      <c r="D44">
        <v>17782.62</v>
      </c>
      <c r="E44">
        <v>3518.63</v>
      </c>
      <c r="F44">
        <v>4900</v>
      </c>
      <c r="G44">
        <v>-1381.37</v>
      </c>
      <c r="H44" s="1">
        <v>16401.25</v>
      </c>
      <c r="I44">
        <v>16.401250000000001</v>
      </c>
      <c r="J44" s="52" t="e">
        <f>INDEX('Plano de Contas'!#REF!,MATCH(tbDez16[[#This Row],[Conta]],'Plano de Contas'!#REF!,0))</f>
        <v>#REF!</v>
      </c>
      <c r="K44" s="52" t="e">
        <f>INDEX('Plano de Contas'!#REF!,MATCH(tbDez16[[#This Row],[Conta]],'Plano de Contas'!#REF!,0))</f>
        <v>#REF!</v>
      </c>
      <c r="L44" t="e">
        <f>INDEX('Plano de Contas'!#REF!,MATCH(tbDez16[[#This Row],[Conta]],'Plano de Contas'!#REF!,0))</f>
        <v>#REF!</v>
      </c>
    </row>
    <row r="45" spans="1:12" x14ac:dyDescent="0.25">
      <c r="A45" t="s">
        <v>134</v>
      </c>
      <c r="B45" t="s">
        <v>1586</v>
      </c>
      <c r="C45" t="s">
        <v>1587</v>
      </c>
      <c r="D45">
        <v>10823270.220000001</v>
      </c>
      <c r="E45">
        <v>2616718.2599999998</v>
      </c>
      <c r="F45">
        <v>11780384.619999999</v>
      </c>
      <c r="G45">
        <v>-9163666.3599999994</v>
      </c>
      <c r="H45" s="1">
        <v>1659603.86</v>
      </c>
      <c r="I45">
        <v>1659.6038600000002</v>
      </c>
      <c r="J45" s="52" t="e">
        <f>INDEX('Plano de Contas'!#REF!,MATCH(tbDez16[[#This Row],[Conta]],'Plano de Contas'!#REF!,0))</f>
        <v>#REF!</v>
      </c>
      <c r="K45" s="52" t="e">
        <f>INDEX('Plano de Contas'!#REF!,MATCH(tbDez16[[#This Row],[Conta]],'Plano de Contas'!#REF!,0))</f>
        <v>#REF!</v>
      </c>
      <c r="L45" t="e">
        <f>INDEX('Plano de Contas'!#REF!,MATCH(tbDez16[[#This Row],[Conta]],'Plano de Contas'!#REF!,0))</f>
        <v>#REF!</v>
      </c>
    </row>
    <row r="46" spans="1:12" x14ac:dyDescent="0.25">
      <c r="A46" t="s">
        <v>136</v>
      </c>
      <c r="B46" t="s">
        <v>1588</v>
      </c>
      <c r="C46" t="s">
        <v>1589</v>
      </c>
      <c r="D46">
        <v>782164.49</v>
      </c>
      <c r="E46">
        <v>27342.65</v>
      </c>
      <c r="F46">
        <v>809507.14</v>
      </c>
      <c r="G46">
        <v>-782164.49</v>
      </c>
      <c r="H46" s="1">
        <v>0</v>
      </c>
      <c r="I46">
        <v>0</v>
      </c>
      <c r="J46" s="52" t="e">
        <f>INDEX('Plano de Contas'!#REF!,MATCH(tbDez16[[#This Row],[Conta]],'Plano de Contas'!#REF!,0))</f>
        <v>#REF!</v>
      </c>
      <c r="K46" s="52" t="e">
        <f>INDEX('Plano de Contas'!#REF!,MATCH(tbDez16[[#This Row],[Conta]],'Plano de Contas'!#REF!,0))</f>
        <v>#REF!</v>
      </c>
      <c r="L46" t="e">
        <f>INDEX('Plano de Contas'!#REF!,MATCH(tbDez16[[#This Row],[Conta]],'Plano de Contas'!#REF!,0))</f>
        <v>#REF!</v>
      </c>
    </row>
    <row r="47" spans="1:12" x14ac:dyDescent="0.25">
      <c r="A47" t="s">
        <v>138</v>
      </c>
      <c r="B47" t="s">
        <v>1590</v>
      </c>
      <c r="C47" t="s">
        <v>1591</v>
      </c>
      <c r="D47">
        <v>242300.28</v>
      </c>
      <c r="E47">
        <v>2077.4</v>
      </c>
      <c r="F47">
        <v>213.89</v>
      </c>
      <c r="G47">
        <v>1863.5100000000002</v>
      </c>
      <c r="H47" s="1">
        <v>244163.79</v>
      </c>
      <c r="I47">
        <v>244.16379000000001</v>
      </c>
      <c r="J47" s="52" t="e">
        <f>INDEX('Plano de Contas'!#REF!,MATCH(tbDez16[[#This Row],[Conta]],'Plano de Contas'!#REF!,0))</f>
        <v>#REF!</v>
      </c>
      <c r="K47" s="52" t="e">
        <f>INDEX('Plano de Contas'!#REF!,MATCH(tbDez16[[#This Row],[Conta]],'Plano de Contas'!#REF!,0))</f>
        <v>#REF!</v>
      </c>
      <c r="L47" t="e">
        <f>INDEX('Plano de Contas'!#REF!,MATCH(tbDez16[[#This Row],[Conta]],'Plano de Contas'!#REF!,0))</f>
        <v>#REF!</v>
      </c>
    </row>
    <row r="48" spans="1:12" x14ac:dyDescent="0.25">
      <c r="A48" t="s">
        <v>140</v>
      </c>
      <c r="B48" t="s">
        <v>1592</v>
      </c>
      <c r="C48" t="s">
        <v>1593</v>
      </c>
      <c r="D48">
        <v>6815.15</v>
      </c>
      <c r="E48">
        <v>5230.1499999999996</v>
      </c>
      <c r="F48">
        <v>5230.1499999999996</v>
      </c>
      <c r="G48">
        <v>0</v>
      </c>
      <c r="H48" s="1">
        <v>6815.15</v>
      </c>
      <c r="I48">
        <v>6.81515</v>
      </c>
      <c r="J48" s="52" t="e">
        <f>INDEX('Plano de Contas'!#REF!,MATCH(tbDez16[[#This Row],[Conta]],'Plano de Contas'!#REF!,0))</f>
        <v>#REF!</v>
      </c>
      <c r="K48" s="52" t="e">
        <f>INDEX('Plano de Contas'!#REF!,MATCH(tbDez16[[#This Row],[Conta]],'Plano de Contas'!#REF!,0))</f>
        <v>#REF!</v>
      </c>
      <c r="L48" t="e">
        <f>INDEX('Plano de Contas'!#REF!,MATCH(tbDez16[[#This Row],[Conta]],'Plano de Contas'!#REF!,0))</f>
        <v>#REF!</v>
      </c>
    </row>
    <row r="49" spans="1:12" x14ac:dyDescent="0.25">
      <c r="A49" t="s">
        <v>142</v>
      </c>
      <c r="B49" t="s">
        <v>1594</v>
      </c>
      <c r="C49" t="s">
        <v>1595</v>
      </c>
      <c r="D49">
        <v>3997.77</v>
      </c>
      <c r="E49">
        <v>24139.22</v>
      </c>
      <c r="F49">
        <v>24139.22</v>
      </c>
      <c r="G49">
        <v>0</v>
      </c>
      <c r="H49" s="1">
        <v>3997.77</v>
      </c>
      <c r="I49">
        <v>3.99777</v>
      </c>
      <c r="J49" s="52" t="e">
        <f>INDEX('Plano de Contas'!#REF!,MATCH(tbDez16[[#This Row],[Conta]],'Plano de Contas'!#REF!,0))</f>
        <v>#REF!</v>
      </c>
      <c r="K49" s="52" t="e">
        <f>INDEX('Plano de Contas'!#REF!,MATCH(tbDez16[[#This Row],[Conta]],'Plano de Contas'!#REF!,0))</f>
        <v>#REF!</v>
      </c>
      <c r="L49" t="e">
        <f>INDEX('Plano de Contas'!#REF!,MATCH(tbDez16[[#This Row],[Conta]],'Plano de Contas'!#REF!,0))</f>
        <v>#REF!</v>
      </c>
    </row>
    <row r="50" spans="1:12" x14ac:dyDescent="0.25">
      <c r="A50" t="s">
        <v>144</v>
      </c>
      <c r="B50" t="s">
        <v>1596</v>
      </c>
      <c r="C50" t="s">
        <v>1597</v>
      </c>
      <c r="D50">
        <v>2718521.22</v>
      </c>
      <c r="E50">
        <v>38622.769999999997</v>
      </c>
      <c r="F50">
        <v>2757143.99</v>
      </c>
      <c r="G50">
        <v>-2718521.22</v>
      </c>
      <c r="H50" s="1">
        <v>0</v>
      </c>
      <c r="I50">
        <v>0</v>
      </c>
      <c r="J50" s="52" t="e">
        <f>INDEX('Plano de Contas'!#REF!,MATCH(tbDez16[[#This Row],[Conta]],'Plano de Contas'!#REF!,0))</f>
        <v>#REF!</v>
      </c>
      <c r="K50" s="52" t="e">
        <f>INDEX('Plano de Contas'!#REF!,MATCH(tbDez16[[#This Row],[Conta]],'Plano de Contas'!#REF!,0))</f>
        <v>#REF!</v>
      </c>
      <c r="L50" t="e">
        <f>INDEX('Plano de Contas'!#REF!,MATCH(tbDez16[[#This Row],[Conta]],'Plano de Contas'!#REF!,0))</f>
        <v>#REF!</v>
      </c>
    </row>
    <row r="51" spans="1:12" x14ac:dyDescent="0.25">
      <c r="A51" t="s">
        <v>146</v>
      </c>
      <c r="B51" t="s">
        <v>1598</v>
      </c>
      <c r="C51" t="s">
        <v>1599</v>
      </c>
      <c r="D51">
        <v>357.79</v>
      </c>
      <c r="E51">
        <v>0</v>
      </c>
      <c r="F51">
        <v>0</v>
      </c>
      <c r="G51">
        <v>0</v>
      </c>
      <c r="H51" s="1">
        <v>357.79</v>
      </c>
      <c r="I51">
        <v>0.35779</v>
      </c>
      <c r="J51" s="52" t="e">
        <f>INDEX('Plano de Contas'!#REF!,MATCH(tbDez16[[#This Row],[Conta]],'Plano de Contas'!#REF!,0))</f>
        <v>#REF!</v>
      </c>
      <c r="K51" s="52" t="e">
        <f>INDEX('Plano de Contas'!#REF!,MATCH(tbDez16[[#This Row],[Conta]],'Plano de Contas'!#REF!,0))</f>
        <v>#REF!</v>
      </c>
      <c r="L51" t="e">
        <f>INDEX('Plano de Contas'!#REF!,MATCH(tbDez16[[#This Row],[Conta]],'Plano de Contas'!#REF!,0))</f>
        <v>#REF!</v>
      </c>
    </row>
    <row r="52" spans="1:12" x14ac:dyDescent="0.25">
      <c r="A52" t="s">
        <v>148</v>
      </c>
      <c r="B52" t="s">
        <v>1600</v>
      </c>
      <c r="C52" t="s">
        <v>1601</v>
      </c>
      <c r="D52">
        <v>566358.34</v>
      </c>
      <c r="E52">
        <v>8046.37</v>
      </c>
      <c r="F52">
        <v>574404.71</v>
      </c>
      <c r="G52">
        <v>-566358.34</v>
      </c>
      <c r="H52" s="1">
        <v>0</v>
      </c>
      <c r="I52">
        <v>0</v>
      </c>
      <c r="J52" s="52" t="e">
        <f>INDEX('Plano de Contas'!#REF!,MATCH(tbDez16[[#This Row],[Conta]],'Plano de Contas'!#REF!,0))</f>
        <v>#REF!</v>
      </c>
      <c r="K52" s="52" t="e">
        <f>INDEX('Plano de Contas'!#REF!,MATCH(tbDez16[[#This Row],[Conta]],'Plano de Contas'!#REF!,0))</f>
        <v>#REF!</v>
      </c>
      <c r="L52" t="e">
        <f>INDEX('Plano de Contas'!#REF!,MATCH(tbDez16[[#This Row],[Conta]],'Plano de Contas'!#REF!,0))</f>
        <v>#REF!</v>
      </c>
    </row>
    <row r="53" spans="1:12" x14ac:dyDescent="0.25">
      <c r="A53" t="s">
        <v>150</v>
      </c>
      <c r="B53" t="s">
        <v>1602</v>
      </c>
      <c r="C53" t="s">
        <v>1603</v>
      </c>
      <c r="D53">
        <v>9834.75</v>
      </c>
      <c r="E53">
        <v>0</v>
      </c>
      <c r="F53">
        <v>0</v>
      </c>
      <c r="G53">
        <v>0</v>
      </c>
      <c r="H53" s="1">
        <v>9834.75</v>
      </c>
      <c r="I53">
        <v>9.8347499999999997</v>
      </c>
      <c r="J53" s="52" t="e">
        <f>INDEX('Plano de Contas'!#REF!,MATCH(tbDez16[[#This Row],[Conta]],'Plano de Contas'!#REF!,0))</f>
        <v>#REF!</v>
      </c>
      <c r="K53" s="52" t="e">
        <f>INDEX('Plano de Contas'!#REF!,MATCH(tbDez16[[#This Row],[Conta]],'Plano de Contas'!#REF!,0))</f>
        <v>#REF!</v>
      </c>
      <c r="L53" t="e">
        <f>INDEX('Plano de Contas'!#REF!,MATCH(tbDez16[[#This Row],[Conta]],'Plano de Contas'!#REF!,0))</f>
        <v>#REF!</v>
      </c>
    </row>
    <row r="54" spans="1:12" x14ac:dyDescent="0.25">
      <c r="A54" t="s">
        <v>152</v>
      </c>
      <c r="B54" t="s">
        <v>1604</v>
      </c>
      <c r="C54" t="s">
        <v>1605</v>
      </c>
      <c r="D54">
        <v>57684.38</v>
      </c>
      <c r="E54">
        <v>0</v>
      </c>
      <c r="F54">
        <v>0</v>
      </c>
      <c r="G54">
        <v>0</v>
      </c>
      <c r="H54" s="1">
        <v>57684.38</v>
      </c>
      <c r="I54">
        <v>57.684379999999997</v>
      </c>
      <c r="J54" s="52" t="e">
        <f>INDEX('Plano de Contas'!#REF!,MATCH(tbDez16[[#This Row],[Conta]],'Plano de Contas'!#REF!,0))</f>
        <v>#REF!</v>
      </c>
      <c r="K54" s="52" t="e">
        <f>INDEX('Plano de Contas'!#REF!,MATCH(tbDez16[[#This Row],[Conta]],'Plano de Contas'!#REF!,0))</f>
        <v>#REF!</v>
      </c>
      <c r="L54" t="e">
        <f>INDEX('Plano de Contas'!#REF!,MATCH(tbDez16[[#This Row],[Conta]],'Plano de Contas'!#REF!,0))</f>
        <v>#REF!</v>
      </c>
    </row>
    <row r="55" spans="1:12" x14ac:dyDescent="0.25">
      <c r="A55" t="s">
        <v>158</v>
      </c>
      <c r="B55" t="s">
        <v>1606</v>
      </c>
      <c r="C55" t="s">
        <v>1607</v>
      </c>
      <c r="D55">
        <v>28355.68</v>
      </c>
      <c r="E55">
        <v>0</v>
      </c>
      <c r="F55">
        <v>0</v>
      </c>
      <c r="G55">
        <v>0</v>
      </c>
      <c r="H55" s="1">
        <v>28355.68</v>
      </c>
      <c r="I55">
        <v>28.35568</v>
      </c>
      <c r="J55" s="52" t="e">
        <f>INDEX('Plano de Contas'!#REF!,MATCH(tbDez16[[#This Row],[Conta]],'Plano de Contas'!#REF!,0))</f>
        <v>#REF!</v>
      </c>
      <c r="K55" s="52" t="e">
        <f>INDEX('Plano de Contas'!#REF!,MATCH(tbDez16[[#This Row],[Conta]],'Plano de Contas'!#REF!,0))</f>
        <v>#REF!</v>
      </c>
      <c r="L55" t="e">
        <f>INDEX('Plano de Contas'!#REF!,MATCH(tbDez16[[#This Row],[Conta]],'Plano de Contas'!#REF!,0))</f>
        <v>#REF!</v>
      </c>
    </row>
    <row r="56" spans="1:12" x14ac:dyDescent="0.25">
      <c r="A56" t="s">
        <v>160</v>
      </c>
      <c r="B56" t="s">
        <v>1608</v>
      </c>
      <c r="C56" t="s">
        <v>1609</v>
      </c>
      <c r="D56">
        <v>26180</v>
      </c>
      <c r="E56">
        <v>0</v>
      </c>
      <c r="F56">
        <v>0</v>
      </c>
      <c r="G56">
        <v>0</v>
      </c>
      <c r="H56" s="1">
        <v>26180</v>
      </c>
      <c r="I56">
        <v>26.18</v>
      </c>
      <c r="J56" s="52" t="e">
        <f>INDEX('Plano de Contas'!#REF!,MATCH(tbDez16[[#This Row],[Conta]],'Plano de Contas'!#REF!,0))</f>
        <v>#REF!</v>
      </c>
      <c r="K56" s="52" t="e">
        <f>INDEX('Plano de Contas'!#REF!,MATCH(tbDez16[[#This Row],[Conta]],'Plano de Contas'!#REF!,0))</f>
        <v>#REF!</v>
      </c>
      <c r="L56" t="e">
        <f>INDEX('Plano de Contas'!#REF!,MATCH(tbDez16[[#This Row],[Conta]],'Plano de Contas'!#REF!,0))</f>
        <v>#REF!</v>
      </c>
    </row>
    <row r="57" spans="1:12" x14ac:dyDescent="0.25">
      <c r="A57" t="s">
        <v>172</v>
      </c>
      <c r="B57" t="s">
        <v>1610</v>
      </c>
      <c r="C57" t="s">
        <v>1611</v>
      </c>
      <c r="D57">
        <v>1007.74</v>
      </c>
      <c r="E57">
        <v>0</v>
      </c>
      <c r="F57">
        <v>1007.74</v>
      </c>
      <c r="G57">
        <v>-1007.74</v>
      </c>
      <c r="H57" s="1">
        <v>0</v>
      </c>
      <c r="I57">
        <v>0</v>
      </c>
      <c r="J57" s="52" t="e">
        <f>INDEX('Plano de Contas'!#REF!,MATCH(tbDez16[[#This Row],[Conta]],'Plano de Contas'!#REF!,0))</f>
        <v>#REF!</v>
      </c>
      <c r="K57" s="52" t="e">
        <f>INDEX('Plano de Contas'!#REF!,MATCH(tbDez16[[#This Row],[Conta]],'Plano de Contas'!#REF!,0))</f>
        <v>#REF!</v>
      </c>
      <c r="L57" t="e">
        <f>INDEX('Plano de Contas'!#REF!,MATCH(tbDez16[[#This Row],[Conta]],'Plano de Contas'!#REF!,0))</f>
        <v>#REF!</v>
      </c>
    </row>
    <row r="58" spans="1:12" x14ac:dyDescent="0.25">
      <c r="A58" t="s">
        <v>174</v>
      </c>
      <c r="B58" t="s">
        <v>1612</v>
      </c>
      <c r="C58" t="s">
        <v>1613</v>
      </c>
      <c r="D58">
        <v>35717.19</v>
      </c>
      <c r="E58">
        <v>0</v>
      </c>
      <c r="F58">
        <v>20954.7</v>
      </c>
      <c r="G58">
        <v>-20954.7</v>
      </c>
      <c r="H58" s="1">
        <v>14762.49</v>
      </c>
      <c r="I58">
        <v>14.76249</v>
      </c>
      <c r="J58" s="52" t="e">
        <f>INDEX('Plano de Contas'!#REF!,MATCH(tbDez16[[#This Row],[Conta]],'Plano de Contas'!#REF!,0))</f>
        <v>#REF!</v>
      </c>
      <c r="K58" s="52" t="e">
        <f>INDEX('Plano de Contas'!#REF!,MATCH(tbDez16[[#This Row],[Conta]],'Plano de Contas'!#REF!,0))</f>
        <v>#REF!</v>
      </c>
      <c r="L58" t="e">
        <f>INDEX('Plano de Contas'!#REF!,MATCH(tbDez16[[#This Row],[Conta]],'Plano de Contas'!#REF!,0))</f>
        <v>#REF!</v>
      </c>
    </row>
    <row r="59" spans="1:12" x14ac:dyDescent="0.25">
      <c r="A59" t="s">
        <v>176</v>
      </c>
      <c r="B59" t="s">
        <v>1614</v>
      </c>
      <c r="C59" t="s">
        <v>1615</v>
      </c>
      <c r="D59">
        <v>3922.66</v>
      </c>
      <c r="E59">
        <v>0</v>
      </c>
      <c r="F59">
        <v>3922.66</v>
      </c>
      <c r="G59">
        <v>-3922.66</v>
      </c>
      <c r="H59" s="1">
        <v>0</v>
      </c>
      <c r="I59">
        <v>0</v>
      </c>
      <c r="J59" s="52" t="e">
        <f>INDEX('Plano de Contas'!#REF!,MATCH(tbDez16[[#This Row],[Conta]],'Plano de Contas'!#REF!,0))</f>
        <v>#REF!</v>
      </c>
      <c r="K59" s="52" t="e">
        <f>INDEX('Plano de Contas'!#REF!,MATCH(tbDez16[[#This Row],[Conta]],'Plano de Contas'!#REF!,0))</f>
        <v>#REF!</v>
      </c>
      <c r="L59" t="e">
        <f>INDEX('Plano de Contas'!#REF!,MATCH(tbDez16[[#This Row],[Conta]],'Plano de Contas'!#REF!,0))</f>
        <v>#REF!</v>
      </c>
    </row>
    <row r="60" spans="1:12" x14ac:dyDescent="0.25">
      <c r="A60" t="s">
        <v>184</v>
      </c>
      <c r="B60" t="s">
        <v>1616</v>
      </c>
      <c r="C60" t="s">
        <v>1617</v>
      </c>
      <c r="D60">
        <v>8237.2000000000007</v>
      </c>
      <c r="E60">
        <v>0</v>
      </c>
      <c r="F60">
        <v>0</v>
      </c>
      <c r="G60">
        <v>0</v>
      </c>
      <c r="H60" s="1">
        <v>8237.2000000000007</v>
      </c>
      <c r="I60">
        <v>8.2372000000000014</v>
      </c>
      <c r="J60" s="52" t="e">
        <f>INDEX('Plano de Contas'!#REF!,MATCH(tbDez16[[#This Row],[Conta]],'Plano de Contas'!#REF!,0))</f>
        <v>#REF!</v>
      </c>
      <c r="K60" s="52" t="e">
        <f>INDEX('Plano de Contas'!#REF!,MATCH(tbDez16[[#This Row],[Conta]],'Plano de Contas'!#REF!,0))</f>
        <v>#REF!</v>
      </c>
      <c r="L60" t="e">
        <f>INDEX('Plano de Contas'!#REF!,MATCH(tbDez16[[#This Row],[Conta]],'Plano de Contas'!#REF!,0))</f>
        <v>#REF!</v>
      </c>
    </row>
    <row r="61" spans="1:12" x14ac:dyDescent="0.25">
      <c r="A61" t="s">
        <v>1002</v>
      </c>
      <c r="B61" t="s">
        <v>1618</v>
      </c>
      <c r="C61" t="s">
        <v>1619</v>
      </c>
      <c r="D61">
        <v>56913.32</v>
      </c>
      <c r="E61">
        <v>0</v>
      </c>
      <c r="F61">
        <v>0</v>
      </c>
      <c r="G61">
        <v>0</v>
      </c>
      <c r="H61" s="1">
        <v>56913.32</v>
      </c>
      <c r="I61">
        <v>56.913319999999999</v>
      </c>
      <c r="J61" s="52" t="e">
        <f>INDEX('Plano de Contas'!#REF!,MATCH(tbDez16[[#This Row],[Conta]],'Plano de Contas'!#REF!,0))</f>
        <v>#REF!</v>
      </c>
      <c r="K61" s="52" t="e">
        <f>INDEX('Plano de Contas'!#REF!,MATCH(tbDez16[[#This Row],[Conta]],'Plano de Contas'!#REF!,0))</f>
        <v>#REF!</v>
      </c>
      <c r="L61" t="e">
        <f>INDEX('Plano de Contas'!#REF!,MATCH(tbDez16[[#This Row],[Conta]],'Plano de Contas'!#REF!,0))</f>
        <v>#REF!</v>
      </c>
    </row>
    <row r="62" spans="1:12" x14ac:dyDescent="0.25">
      <c r="A62" t="s">
        <v>1004</v>
      </c>
      <c r="B62" t="s">
        <v>1620</v>
      </c>
      <c r="C62" t="s">
        <v>1621</v>
      </c>
      <c r="D62">
        <v>271235.58</v>
      </c>
      <c r="E62">
        <v>0</v>
      </c>
      <c r="F62">
        <v>0</v>
      </c>
      <c r="G62">
        <v>0</v>
      </c>
      <c r="H62" s="1">
        <v>271235.58</v>
      </c>
      <c r="I62">
        <v>271.23558000000003</v>
      </c>
      <c r="J62" s="52" t="e">
        <f>INDEX('Plano de Contas'!#REF!,MATCH(tbDez16[[#This Row],[Conta]],'Plano de Contas'!#REF!,0))</f>
        <v>#REF!</v>
      </c>
      <c r="K62" s="52" t="e">
        <f>INDEX('Plano de Contas'!#REF!,MATCH(tbDez16[[#This Row],[Conta]],'Plano de Contas'!#REF!,0))</f>
        <v>#REF!</v>
      </c>
      <c r="L62" t="e">
        <f>INDEX('Plano de Contas'!#REF!,MATCH(tbDez16[[#This Row],[Conta]],'Plano de Contas'!#REF!,0))</f>
        <v>#REF!</v>
      </c>
    </row>
    <row r="63" spans="1:12" x14ac:dyDescent="0.25">
      <c r="A63" t="s">
        <v>1150</v>
      </c>
      <c r="B63" t="s">
        <v>1622</v>
      </c>
      <c r="C63" t="s">
        <v>1623</v>
      </c>
      <c r="D63">
        <v>13859.71</v>
      </c>
      <c r="E63">
        <v>0</v>
      </c>
      <c r="F63">
        <v>0</v>
      </c>
      <c r="G63">
        <v>0</v>
      </c>
      <c r="H63" s="1">
        <v>13859.71</v>
      </c>
      <c r="I63">
        <v>13.85971</v>
      </c>
      <c r="J63" s="52" t="e">
        <f>INDEX('Plano de Contas'!#REF!,MATCH(tbDez16[[#This Row],[Conta]],'Plano de Contas'!#REF!,0))</f>
        <v>#REF!</v>
      </c>
      <c r="K63" s="52" t="e">
        <f>INDEX('Plano de Contas'!#REF!,MATCH(tbDez16[[#This Row],[Conta]],'Plano de Contas'!#REF!,0))</f>
        <v>#REF!</v>
      </c>
      <c r="L63" t="e">
        <f>INDEX('Plano de Contas'!#REF!,MATCH(tbDez16[[#This Row],[Conta]],'Plano de Contas'!#REF!,0))</f>
        <v>#REF!</v>
      </c>
    </row>
    <row r="64" spans="1:12" x14ac:dyDescent="0.25">
      <c r="A64" t="s">
        <v>1152</v>
      </c>
      <c r="B64" t="s">
        <v>1624</v>
      </c>
      <c r="C64" t="s">
        <v>1625</v>
      </c>
      <c r="D64">
        <v>272597.86</v>
      </c>
      <c r="E64">
        <v>31524.5</v>
      </c>
      <c r="F64">
        <v>304122.36</v>
      </c>
      <c r="G64">
        <v>-272597.86</v>
      </c>
      <c r="H64" s="1">
        <v>0</v>
      </c>
      <c r="I64">
        <v>0</v>
      </c>
      <c r="J64" s="52" t="e">
        <f>INDEX('Plano de Contas'!#REF!,MATCH(tbDez16[[#This Row],[Conta]],'Plano de Contas'!#REF!,0))</f>
        <v>#REF!</v>
      </c>
      <c r="K64" s="52" t="e">
        <f>INDEX('Plano de Contas'!#REF!,MATCH(tbDez16[[#This Row],[Conta]],'Plano de Contas'!#REF!,0))</f>
        <v>#REF!</v>
      </c>
      <c r="L64" t="e">
        <f>INDEX('Plano de Contas'!#REF!,MATCH(tbDez16[[#This Row],[Conta]],'Plano de Contas'!#REF!,0))</f>
        <v>#REF!</v>
      </c>
    </row>
    <row r="65" spans="1:12" x14ac:dyDescent="0.25">
      <c r="A65" t="s">
        <v>1154</v>
      </c>
      <c r="B65" t="s">
        <v>1626</v>
      </c>
      <c r="C65" t="s">
        <v>1627</v>
      </c>
      <c r="D65">
        <v>212416.4</v>
      </c>
      <c r="E65">
        <v>82764.52</v>
      </c>
      <c r="F65">
        <v>295180.92</v>
      </c>
      <c r="G65">
        <v>-212416.39999999997</v>
      </c>
      <c r="H65" s="1">
        <v>0</v>
      </c>
      <c r="I65">
        <v>0</v>
      </c>
      <c r="J65" s="52" t="e">
        <f>INDEX('Plano de Contas'!#REF!,MATCH(tbDez16[[#This Row],[Conta]],'Plano de Contas'!#REF!,0))</f>
        <v>#REF!</v>
      </c>
      <c r="K65" s="52" t="e">
        <f>INDEX('Plano de Contas'!#REF!,MATCH(tbDez16[[#This Row],[Conta]],'Plano de Contas'!#REF!,0))</f>
        <v>#REF!</v>
      </c>
      <c r="L65" t="e">
        <f>INDEX('Plano de Contas'!#REF!,MATCH(tbDez16[[#This Row],[Conta]],'Plano de Contas'!#REF!,0))</f>
        <v>#REF!</v>
      </c>
    </row>
    <row r="66" spans="1:12" x14ac:dyDescent="0.25">
      <c r="A66" t="s">
        <v>1628</v>
      </c>
      <c r="B66" t="s">
        <v>1629</v>
      </c>
      <c r="C66" t="s">
        <v>1630</v>
      </c>
      <c r="D66">
        <v>3590128.76</v>
      </c>
      <c r="E66">
        <v>1730959.23</v>
      </c>
      <c r="F66">
        <v>4448954.6100000003</v>
      </c>
      <c r="G66">
        <v>-2717995.3800000004</v>
      </c>
      <c r="H66" s="1">
        <v>872133.38</v>
      </c>
      <c r="I66">
        <v>872.13337999999999</v>
      </c>
      <c r="J66" s="52" t="e">
        <f>INDEX('Plano de Contas'!#REF!,MATCH(tbDez16[[#This Row],[Conta]],'Plano de Contas'!#REF!,0))</f>
        <v>#REF!</v>
      </c>
      <c r="K66" s="52" t="e">
        <f>INDEX('Plano de Contas'!#REF!,MATCH(tbDez16[[#This Row],[Conta]],'Plano de Contas'!#REF!,0))</f>
        <v>#REF!</v>
      </c>
      <c r="L66" t="e">
        <f>INDEX('Plano de Contas'!#REF!,MATCH(tbDez16[[#This Row],[Conta]],'Plano de Contas'!#REF!,0))</f>
        <v>#REF!</v>
      </c>
    </row>
    <row r="67" spans="1:12" x14ac:dyDescent="0.25">
      <c r="A67" t="s">
        <v>1631</v>
      </c>
      <c r="B67" t="s">
        <v>1632</v>
      </c>
      <c r="C67" t="s">
        <v>1633</v>
      </c>
      <c r="D67">
        <v>1914663.95</v>
      </c>
      <c r="E67">
        <v>666011.44999999995</v>
      </c>
      <c r="F67">
        <v>2535602.5299999998</v>
      </c>
      <c r="G67">
        <v>-1869591.0799999998</v>
      </c>
      <c r="H67" s="1">
        <v>45072.87</v>
      </c>
      <c r="I67">
        <v>45.072870000000002</v>
      </c>
      <c r="J67" s="52" t="e">
        <f>INDEX('Plano de Contas'!#REF!,MATCH(tbDez16[[#This Row],[Conta]],'Plano de Contas'!#REF!,0))</f>
        <v>#REF!</v>
      </c>
      <c r="K67" s="52" t="e">
        <f>INDEX('Plano de Contas'!#REF!,MATCH(tbDez16[[#This Row],[Conta]],'Plano de Contas'!#REF!,0))</f>
        <v>#REF!</v>
      </c>
      <c r="L67" t="e">
        <f>INDEX('Plano de Contas'!#REF!,MATCH(tbDez16[[#This Row],[Conta]],'Plano de Contas'!#REF!,0))</f>
        <v>#REF!</v>
      </c>
    </row>
    <row r="68" spans="1:12" x14ac:dyDescent="0.25">
      <c r="A68" t="s">
        <v>190</v>
      </c>
      <c r="B68" t="s">
        <v>1634</v>
      </c>
      <c r="C68" t="s">
        <v>1635</v>
      </c>
      <c r="D68">
        <v>3719771.62</v>
      </c>
      <c r="E68">
        <v>514647.21</v>
      </c>
      <c r="F68">
        <v>54747.5</v>
      </c>
      <c r="G68">
        <v>459899.71</v>
      </c>
      <c r="H68" s="1">
        <v>4179671.33</v>
      </c>
      <c r="I68">
        <v>4179.6713300000001</v>
      </c>
      <c r="J68" s="52" t="e">
        <f>INDEX('Plano de Contas'!#REF!,MATCH(tbDez16[[#This Row],[Conta]],'Plano de Contas'!#REF!,0))</f>
        <v>#REF!</v>
      </c>
      <c r="K68" s="52" t="e">
        <f>INDEX('Plano de Contas'!#REF!,MATCH(tbDez16[[#This Row],[Conta]],'Plano de Contas'!#REF!,0))</f>
        <v>#REF!</v>
      </c>
      <c r="L68" t="e">
        <f>INDEX('Plano de Contas'!#REF!,MATCH(tbDez16[[#This Row],[Conta]],'Plano de Contas'!#REF!,0))</f>
        <v>#REF!</v>
      </c>
    </row>
    <row r="69" spans="1:12" x14ac:dyDescent="0.25">
      <c r="A69" t="s">
        <v>192</v>
      </c>
      <c r="B69" t="s">
        <v>1636</v>
      </c>
      <c r="C69" t="s">
        <v>1637</v>
      </c>
      <c r="D69">
        <v>5995296.8799999999</v>
      </c>
      <c r="E69">
        <v>8997.5</v>
      </c>
      <c r="F69">
        <v>54747.5</v>
      </c>
      <c r="G69">
        <v>-45750</v>
      </c>
      <c r="H69" s="1">
        <v>5949546.8799999999</v>
      </c>
      <c r="I69">
        <v>5949.5468799999999</v>
      </c>
      <c r="J69" s="52" t="e">
        <f>INDEX('Plano de Contas'!#REF!,MATCH(tbDez16[[#This Row],[Conta]],'Plano de Contas'!#REF!,0))</f>
        <v>#REF!</v>
      </c>
      <c r="K69" s="52" t="e">
        <f>INDEX('Plano de Contas'!#REF!,MATCH(tbDez16[[#This Row],[Conta]],'Plano de Contas'!#REF!,0))</f>
        <v>#REF!</v>
      </c>
      <c r="L69" t="e">
        <f>INDEX('Plano de Contas'!#REF!,MATCH(tbDez16[[#This Row],[Conta]],'Plano de Contas'!#REF!,0))</f>
        <v>#REF!</v>
      </c>
    </row>
    <row r="70" spans="1:12" x14ac:dyDescent="0.25">
      <c r="A70" t="s">
        <v>194</v>
      </c>
      <c r="B70" t="s">
        <v>1638</v>
      </c>
      <c r="C70" t="s">
        <v>1639</v>
      </c>
      <c r="D70">
        <v>43239.24</v>
      </c>
      <c r="E70">
        <v>0</v>
      </c>
      <c r="F70">
        <v>0</v>
      </c>
      <c r="G70">
        <v>0</v>
      </c>
      <c r="H70" s="1">
        <v>43239.24</v>
      </c>
      <c r="I70">
        <v>43.239239999999995</v>
      </c>
      <c r="J70" s="52" t="e">
        <f>INDEX('Plano de Contas'!#REF!,MATCH(tbDez16[[#This Row],[Conta]],'Plano de Contas'!#REF!,0))</f>
        <v>#REF!</v>
      </c>
      <c r="K70" s="52" t="e">
        <f>INDEX('Plano de Contas'!#REF!,MATCH(tbDez16[[#This Row],[Conta]],'Plano de Contas'!#REF!,0))</f>
        <v>#REF!</v>
      </c>
      <c r="L70" t="e">
        <f>INDEX('Plano de Contas'!#REF!,MATCH(tbDez16[[#This Row],[Conta]],'Plano de Contas'!#REF!,0))</f>
        <v>#REF!</v>
      </c>
    </row>
    <row r="71" spans="1:12" x14ac:dyDescent="0.25">
      <c r="A71" t="s">
        <v>1006</v>
      </c>
      <c r="B71" t="s">
        <v>1640</v>
      </c>
      <c r="C71" t="s">
        <v>1641</v>
      </c>
      <c r="D71">
        <v>-2406935.8199999998</v>
      </c>
      <c r="E71">
        <v>505649.71</v>
      </c>
      <c r="F71">
        <v>0</v>
      </c>
      <c r="G71">
        <v>505649.71</v>
      </c>
      <c r="H71" s="1">
        <v>-1901286.11</v>
      </c>
      <c r="I71">
        <v>-1901.28611</v>
      </c>
      <c r="J71" s="52" t="e">
        <f>INDEX('Plano de Contas'!#REF!,MATCH(tbDez16[[#This Row],[Conta]],'Plano de Contas'!#REF!,0))</f>
        <v>#REF!</v>
      </c>
      <c r="K71" s="52" t="e">
        <f>INDEX('Plano de Contas'!#REF!,MATCH(tbDez16[[#This Row],[Conta]],'Plano de Contas'!#REF!,0))</f>
        <v>#REF!</v>
      </c>
      <c r="L71" t="e">
        <f>INDEX('Plano de Contas'!#REF!,MATCH(tbDez16[[#This Row],[Conta]],'Plano de Contas'!#REF!,0))</f>
        <v>#REF!</v>
      </c>
    </row>
    <row r="72" spans="1:12" x14ac:dyDescent="0.25">
      <c r="A72" t="s">
        <v>1642</v>
      </c>
      <c r="B72" t="s">
        <v>1643</v>
      </c>
      <c r="C72" t="s">
        <v>1644</v>
      </c>
      <c r="D72">
        <v>88171.32</v>
      </c>
      <c r="E72">
        <v>0</v>
      </c>
      <c r="F72">
        <v>0</v>
      </c>
      <c r="G72">
        <v>0</v>
      </c>
      <c r="H72" s="1">
        <v>88171.32</v>
      </c>
      <c r="I72">
        <v>88.171320000000009</v>
      </c>
      <c r="J72" s="52" t="e">
        <f>INDEX('Plano de Contas'!#REF!,MATCH(tbDez16[[#This Row],[Conta]],'Plano de Contas'!#REF!,0))</f>
        <v>#REF!</v>
      </c>
      <c r="K72" s="52" t="e">
        <f>INDEX('Plano de Contas'!#REF!,MATCH(tbDez16[[#This Row],[Conta]],'Plano de Contas'!#REF!,0))</f>
        <v>#REF!</v>
      </c>
      <c r="L72" t="e">
        <f>INDEX('Plano de Contas'!#REF!,MATCH(tbDez16[[#This Row],[Conta]],'Plano de Contas'!#REF!,0))</f>
        <v>#REF!</v>
      </c>
    </row>
    <row r="73" spans="1:12" x14ac:dyDescent="0.25">
      <c r="A73" t="s">
        <v>196</v>
      </c>
      <c r="B73" t="s">
        <v>1645</v>
      </c>
      <c r="C73" t="s">
        <v>1646</v>
      </c>
      <c r="D73">
        <v>1488275.04</v>
      </c>
      <c r="E73">
        <v>101805.66</v>
      </c>
      <c r="F73">
        <v>797271.27</v>
      </c>
      <c r="G73">
        <v>-695465.61</v>
      </c>
      <c r="H73" s="1">
        <v>792809.43</v>
      </c>
      <c r="I73">
        <v>792.80943000000002</v>
      </c>
      <c r="J73" s="52" t="e">
        <f>INDEX('Plano de Contas'!#REF!,MATCH(tbDez16[[#This Row],[Conta]],'Plano de Contas'!#REF!,0))</f>
        <v>#REF!</v>
      </c>
      <c r="K73" s="52" t="e">
        <f>INDEX('Plano de Contas'!#REF!,MATCH(tbDez16[[#This Row],[Conta]],'Plano de Contas'!#REF!,0))</f>
        <v>#REF!</v>
      </c>
      <c r="L73" t="e">
        <f>INDEX('Plano de Contas'!#REF!,MATCH(tbDez16[[#This Row],[Conta]],'Plano de Contas'!#REF!,0))</f>
        <v>#REF!</v>
      </c>
    </row>
    <row r="74" spans="1:12" x14ac:dyDescent="0.25">
      <c r="A74" t="s">
        <v>200</v>
      </c>
      <c r="B74" t="s">
        <v>1647</v>
      </c>
      <c r="C74" t="s">
        <v>1648</v>
      </c>
      <c r="D74">
        <v>1219580</v>
      </c>
      <c r="E74">
        <v>0</v>
      </c>
      <c r="F74">
        <v>525899.88</v>
      </c>
      <c r="G74">
        <v>-525899.88</v>
      </c>
      <c r="H74" s="1">
        <v>693680.12</v>
      </c>
      <c r="I74">
        <v>693.68011999999999</v>
      </c>
      <c r="J74" s="52" t="e">
        <f>INDEX('Plano de Contas'!#REF!,MATCH(tbDez16[[#This Row],[Conta]],'Plano de Contas'!#REF!,0))</f>
        <v>#REF!</v>
      </c>
      <c r="K74" s="52" t="e">
        <f>INDEX('Plano de Contas'!#REF!,MATCH(tbDez16[[#This Row],[Conta]],'Plano de Contas'!#REF!,0))</f>
        <v>#REF!</v>
      </c>
      <c r="L74" t="e">
        <f>INDEX('Plano de Contas'!#REF!,MATCH(tbDez16[[#This Row],[Conta]],'Plano de Contas'!#REF!,0))</f>
        <v>#REF!</v>
      </c>
    </row>
    <row r="75" spans="1:12" x14ac:dyDescent="0.25">
      <c r="A75" t="s">
        <v>210</v>
      </c>
      <c r="B75" t="s">
        <v>1649</v>
      </c>
      <c r="C75" t="s">
        <v>1650</v>
      </c>
      <c r="D75">
        <v>267858.78000000003</v>
      </c>
      <c r="E75">
        <v>0</v>
      </c>
      <c r="F75">
        <v>267858.78000000003</v>
      </c>
      <c r="G75">
        <v>-267858.78000000003</v>
      </c>
      <c r="H75" s="1">
        <v>0</v>
      </c>
      <c r="I75">
        <v>0</v>
      </c>
      <c r="J75" s="52" t="e">
        <f>INDEX('Plano de Contas'!#REF!,MATCH(tbDez16[[#This Row],[Conta]],'Plano de Contas'!#REF!,0))</f>
        <v>#REF!</v>
      </c>
      <c r="K75" s="52" t="e">
        <f>INDEX('Plano de Contas'!#REF!,MATCH(tbDez16[[#This Row],[Conta]],'Plano de Contas'!#REF!,0))</f>
        <v>#REF!</v>
      </c>
      <c r="L75" t="e">
        <f>INDEX('Plano de Contas'!#REF!,MATCH(tbDez16[[#This Row],[Conta]],'Plano de Contas'!#REF!,0))</f>
        <v>#REF!</v>
      </c>
    </row>
    <row r="76" spans="1:12" x14ac:dyDescent="0.25">
      <c r="A76" t="s">
        <v>1156</v>
      </c>
      <c r="B76" t="s">
        <v>1651</v>
      </c>
      <c r="C76" t="s">
        <v>1652</v>
      </c>
      <c r="D76">
        <v>24430.65</v>
      </c>
      <c r="E76">
        <v>0</v>
      </c>
      <c r="F76">
        <v>0</v>
      </c>
      <c r="G76">
        <v>0</v>
      </c>
      <c r="H76" s="1">
        <v>24430.65</v>
      </c>
      <c r="I76">
        <v>24.43065</v>
      </c>
      <c r="J76" s="52" t="e">
        <f>INDEX('Plano de Contas'!#REF!,MATCH(tbDez16[[#This Row],[Conta]],'Plano de Contas'!#REF!,0))</f>
        <v>#REF!</v>
      </c>
      <c r="K76" s="52" t="e">
        <f>INDEX('Plano de Contas'!#REF!,MATCH(tbDez16[[#This Row],[Conta]],'Plano de Contas'!#REF!,0))</f>
        <v>#REF!</v>
      </c>
      <c r="L76" t="e">
        <f>INDEX('Plano de Contas'!#REF!,MATCH(tbDez16[[#This Row],[Conta]],'Plano de Contas'!#REF!,0))</f>
        <v>#REF!</v>
      </c>
    </row>
    <row r="77" spans="1:12" x14ac:dyDescent="0.25">
      <c r="A77" t="s">
        <v>1653</v>
      </c>
      <c r="B77" t="s">
        <v>1654</v>
      </c>
      <c r="C77" t="s">
        <v>1655</v>
      </c>
      <c r="D77">
        <v>73568.09</v>
      </c>
      <c r="E77">
        <v>4643.18</v>
      </c>
      <c r="F77">
        <v>3512.61</v>
      </c>
      <c r="G77">
        <v>1130.5700000000002</v>
      </c>
      <c r="H77" s="1">
        <v>74698.66</v>
      </c>
      <c r="I77">
        <v>74.698660000000004</v>
      </c>
      <c r="J77" s="52" t="e">
        <f>INDEX('Plano de Contas'!#REF!,MATCH(tbDez16[[#This Row],[Conta]],'Plano de Contas'!#REF!,0))</f>
        <v>#REF!</v>
      </c>
      <c r="K77" s="52" t="e">
        <f>INDEX('Plano de Contas'!#REF!,MATCH(tbDez16[[#This Row],[Conta]],'Plano de Contas'!#REF!,0))</f>
        <v>#REF!</v>
      </c>
      <c r="L77" t="e">
        <f>INDEX('Plano de Contas'!#REF!,MATCH(tbDez16[[#This Row],[Conta]],'Plano de Contas'!#REF!,0))</f>
        <v>#REF!</v>
      </c>
    </row>
    <row r="78" spans="1:12" x14ac:dyDescent="0.25">
      <c r="A78" t="s">
        <v>1656</v>
      </c>
      <c r="B78" t="s">
        <v>1657</v>
      </c>
      <c r="C78" t="s">
        <v>1658</v>
      </c>
      <c r="D78">
        <v>-97162.48</v>
      </c>
      <c r="E78">
        <v>97162.48</v>
      </c>
      <c r="F78">
        <v>0</v>
      </c>
      <c r="G78">
        <v>97162.48</v>
      </c>
      <c r="H78" s="1">
        <v>0</v>
      </c>
      <c r="I78">
        <v>0</v>
      </c>
      <c r="J78" s="52" t="e">
        <f>INDEX('Plano de Contas'!#REF!,MATCH(tbDez16[[#This Row],[Conta]],'Plano de Contas'!#REF!,0))</f>
        <v>#REF!</v>
      </c>
      <c r="K78" s="52" t="e">
        <f>INDEX('Plano de Contas'!#REF!,MATCH(tbDez16[[#This Row],[Conta]],'Plano de Contas'!#REF!,0))</f>
        <v>#REF!</v>
      </c>
      <c r="L78" t="e">
        <f>INDEX('Plano de Contas'!#REF!,MATCH(tbDez16[[#This Row],[Conta]],'Plano de Contas'!#REF!,0))</f>
        <v>#REF!</v>
      </c>
    </row>
    <row r="79" spans="1:12" x14ac:dyDescent="0.25">
      <c r="A79" t="s">
        <v>216</v>
      </c>
      <c r="B79" t="s">
        <v>1659</v>
      </c>
      <c r="C79" t="s">
        <v>1660</v>
      </c>
      <c r="D79">
        <v>251877.62</v>
      </c>
      <c r="E79">
        <v>889458.67</v>
      </c>
      <c r="F79">
        <v>251819.72</v>
      </c>
      <c r="G79">
        <v>637638.95000000007</v>
      </c>
      <c r="H79" s="1">
        <v>889516.57</v>
      </c>
      <c r="I79">
        <v>889.51657</v>
      </c>
      <c r="J79" s="52" t="e">
        <f>INDEX('Plano de Contas'!#REF!,MATCH(tbDez16[[#This Row],[Conta]],'Plano de Contas'!#REF!,0))</f>
        <v>#REF!</v>
      </c>
      <c r="K79" s="52" t="e">
        <f>INDEX('Plano de Contas'!#REF!,MATCH(tbDez16[[#This Row],[Conta]],'Plano de Contas'!#REF!,0))</f>
        <v>#REF!</v>
      </c>
      <c r="L79" t="e">
        <f>INDEX('Plano de Contas'!#REF!,MATCH(tbDez16[[#This Row],[Conta]],'Plano de Contas'!#REF!,0))</f>
        <v>#REF!</v>
      </c>
    </row>
    <row r="80" spans="1:12" x14ac:dyDescent="0.25">
      <c r="A80" t="s">
        <v>218</v>
      </c>
      <c r="B80" t="s">
        <v>1661</v>
      </c>
      <c r="C80" t="s">
        <v>1662</v>
      </c>
      <c r="D80">
        <v>57.9</v>
      </c>
      <c r="E80">
        <v>44389.26</v>
      </c>
      <c r="F80">
        <v>0</v>
      </c>
      <c r="G80">
        <v>44389.26</v>
      </c>
      <c r="H80" s="1">
        <v>44447.16</v>
      </c>
      <c r="I80">
        <v>44.447160000000004</v>
      </c>
      <c r="J80" s="52" t="e">
        <f>INDEX('Plano de Contas'!#REF!,MATCH(tbDez16[[#This Row],[Conta]],'Plano de Contas'!#REF!,0))</f>
        <v>#REF!</v>
      </c>
      <c r="K80" s="52" t="e">
        <f>INDEX('Plano de Contas'!#REF!,MATCH(tbDez16[[#This Row],[Conta]],'Plano de Contas'!#REF!,0))</f>
        <v>#REF!</v>
      </c>
      <c r="L80" t="e">
        <f>INDEX('Plano de Contas'!#REF!,MATCH(tbDez16[[#This Row],[Conta]],'Plano de Contas'!#REF!,0))</f>
        <v>#REF!</v>
      </c>
    </row>
    <row r="81" spans="1:12" x14ac:dyDescent="0.25">
      <c r="A81" t="s">
        <v>220</v>
      </c>
      <c r="B81" t="s">
        <v>1663</v>
      </c>
      <c r="C81" t="s">
        <v>1664</v>
      </c>
      <c r="D81">
        <v>251819.72</v>
      </c>
      <c r="E81">
        <v>689153.74</v>
      </c>
      <c r="F81">
        <v>251819.72</v>
      </c>
      <c r="G81">
        <v>437334.02</v>
      </c>
      <c r="H81" s="1">
        <v>689153.74</v>
      </c>
      <c r="I81">
        <v>689.15373999999997</v>
      </c>
      <c r="J81" s="52" t="e">
        <f>INDEX('Plano de Contas'!#REF!,MATCH(tbDez16[[#This Row],[Conta]],'Plano de Contas'!#REF!,0))</f>
        <v>#REF!</v>
      </c>
      <c r="K81" s="52" t="e">
        <f>INDEX('Plano de Contas'!#REF!,MATCH(tbDez16[[#This Row],[Conta]],'Plano de Contas'!#REF!,0))</f>
        <v>#REF!</v>
      </c>
      <c r="L81" t="e">
        <f>INDEX('Plano de Contas'!#REF!,MATCH(tbDez16[[#This Row],[Conta]],'Plano de Contas'!#REF!,0))</f>
        <v>#REF!</v>
      </c>
    </row>
    <row r="82" spans="1:12" x14ac:dyDescent="0.25">
      <c r="A82" t="s">
        <v>222</v>
      </c>
      <c r="B82" t="s">
        <v>1665</v>
      </c>
      <c r="C82" t="s">
        <v>1666</v>
      </c>
      <c r="D82">
        <v>0</v>
      </c>
      <c r="E82">
        <v>155915.67000000001</v>
      </c>
      <c r="F82">
        <v>0</v>
      </c>
      <c r="G82">
        <v>155915.67000000001</v>
      </c>
      <c r="H82" s="1">
        <v>155915.67000000001</v>
      </c>
      <c r="I82">
        <v>155.91567000000001</v>
      </c>
      <c r="J82" s="52" t="e">
        <f>INDEX('Plano de Contas'!#REF!,MATCH(tbDez16[[#This Row],[Conta]],'Plano de Contas'!#REF!,0))</f>
        <v>#REF!</v>
      </c>
      <c r="K82" s="52" t="e">
        <f>INDEX('Plano de Contas'!#REF!,MATCH(tbDez16[[#This Row],[Conta]],'Plano de Contas'!#REF!,0))</f>
        <v>#REF!</v>
      </c>
      <c r="L82" t="e">
        <f>INDEX('Plano de Contas'!#REF!,MATCH(tbDez16[[#This Row],[Conta]],'Plano de Contas'!#REF!,0))</f>
        <v>#REF!</v>
      </c>
    </row>
    <row r="83" spans="1:12" x14ac:dyDescent="0.25">
      <c r="A83" t="s">
        <v>230</v>
      </c>
      <c r="B83" t="s">
        <v>1667</v>
      </c>
      <c r="C83" t="s">
        <v>1668</v>
      </c>
      <c r="D83">
        <v>624635.68000000005</v>
      </c>
      <c r="E83">
        <v>0</v>
      </c>
      <c r="F83">
        <v>0</v>
      </c>
      <c r="G83">
        <v>0</v>
      </c>
      <c r="H83" s="1">
        <v>624635.68000000005</v>
      </c>
      <c r="I83">
        <v>624.63568000000009</v>
      </c>
      <c r="J83" s="52" t="e">
        <f>INDEX('Plano de Contas'!#REF!,MATCH(tbDez16[[#This Row],[Conta]],'Plano de Contas'!#REF!,0))</f>
        <v>#REF!</v>
      </c>
      <c r="K83" s="52" t="e">
        <f>INDEX('Plano de Contas'!#REF!,MATCH(tbDez16[[#This Row],[Conta]],'Plano de Contas'!#REF!,0))</f>
        <v>#REF!</v>
      </c>
      <c r="L83" t="e">
        <f>INDEX('Plano de Contas'!#REF!,MATCH(tbDez16[[#This Row],[Conta]],'Plano de Contas'!#REF!,0))</f>
        <v>#REF!</v>
      </c>
    </row>
    <row r="84" spans="1:12" x14ac:dyDescent="0.25">
      <c r="A84" t="s">
        <v>236</v>
      </c>
      <c r="B84" t="s">
        <v>1669</v>
      </c>
      <c r="C84" t="s">
        <v>1670</v>
      </c>
      <c r="D84">
        <v>329681.57</v>
      </c>
      <c r="E84">
        <v>0</v>
      </c>
      <c r="F84">
        <v>0</v>
      </c>
      <c r="G84">
        <v>0</v>
      </c>
      <c r="H84" s="1">
        <v>329681.57</v>
      </c>
      <c r="I84">
        <v>329.68157000000002</v>
      </c>
      <c r="J84" s="52" t="e">
        <f>INDEX('Plano de Contas'!#REF!,MATCH(tbDez16[[#This Row],[Conta]],'Plano de Contas'!#REF!,0))</f>
        <v>#REF!</v>
      </c>
      <c r="K84" s="52" t="e">
        <f>INDEX('Plano de Contas'!#REF!,MATCH(tbDez16[[#This Row],[Conta]],'Plano de Contas'!#REF!,0))</f>
        <v>#REF!</v>
      </c>
      <c r="L84" t="e">
        <f>INDEX('Plano de Contas'!#REF!,MATCH(tbDez16[[#This Row],[Conta]],'Plano de Contas'!#REF!,0))</f>
        <v>#REF!</v>
      </c>
    </row>
    <row r="85" spans="1:12" x14ac:dyDescent="0.25">
      <c r="A85" t="s">
        <v>238</v>
      </c>
      <c r="B85" t="s">
        <v>1671</v>
      </c>
      <c r="C85" t="s">
        <v>1672</v>
      </c>
      <c r="D85">
        <v>36420.910000000003</v>
      </c>
      <c r="E85">
        <v>0</v>
      </c>
      <c r="F85">
        <v>0</v>
      </c>
      <c r="G85">
        <v>0</v>
      </c>
      <c r="H85" s="1">
        <v>36420.910000000003</v>
      </c>
      <c r="I85">
        <v>36.420910000000006</v>
      </c>
      <c r="J85" s="52" t="e">
        <f>INDEX('Plano de Contas'!#REF!,MATCH(tbDez16[[#This Row],[Conta]],'Plano de Contas'!#REF!,0))</f>
        <v>#REF!</v>
      </c>
      <c r="K85" s="52" t="e">
        <f>INDEX('Plano de Contas'!#REF!,MATCH(tbDez16[[#This Row],[Conta]],'Plano de Contas'!#REF!,0))</f>
        <v>#REF!</v>
      </c>
      <c r="L85" t="e">
        <f>INDEX('Plano de Contas'!#REF!,MATCH(tbDez16[[#This Row],[Conta]],'Plano de Contas'!#REF!,0))</f>
        <v>#REF!</v>
      </c>
    </row>
    <row r="86" spans="1:12" x14ac:dyDescent="0.25">
      <c r="A86" t="s">
        <v>240</v>
      </c>
      <c r="B86" t="s">
        <v>1673</v>
      </c>
      <c r="C86" t="s">
        <v>1674</v>
      </c>
      <c r="D86">
        <v>49441.29</v>
      </c>
      <c r="E86">
        <v>0</v>
      </c>
      <c r="F86">
        <v>0</v>
      </c>
      <c r="G86">
        <v>0</v>
      </c>
      <c r="H86" s="1">
        <v>49441.29</v>
      </c>
      <c r="I86">
        <v>49.441290000000002</v>
      </c>
      <c r="J86" s="52" t="e">
        <f>INDEX('Plano de Contas'!#REF!,MATCH(tbDez16[[#This Row],[Conta]],'Plano de Contas'!#REF!,0))</f>
        <v>#REF!</v>
      </c>
      <c r="K86" s="52" t="e">
        <f>INDEX('Plano de Contas'!#REF!,MATCH(tbDez16[[#This Row],[Conta]],'Plano de Contas'!#REF!,0))</f>
        <v>#REF!</v>
      </c>
      <c r="L86" t="e">
        <f>INDEX('Plano de Contas'!#REF!,MATCH(tbDez16[[#This Row],[Conta]],'Plano de Contas'!#REF!,0))</f>
        <v>#REF!</v>
      </c>
    </row>
    <row r="87" spans="1:12" x14ac:dyDescent="0.25">
      <c r="A87" t="s">
        <v>242</v>
      </c>
      <c r="B87" t="s">
        <v>1675</v>
      </c>
      <c r="C87" t="s">
        <v>1676</v>
      </c>
      <c r="D87">
        <v>209091.91</v>
      </c>
      <c r="E87">
        <v>0</v>
      </c>
      <c r="F87">
        <v>0</v>
      </c>
      <c r="G87">
        <v>0</v>
      </c>
      <c r="H87" s="1">
        <v>209091.91</v>
      </c>
      <c r="I87">
        <v>209.09191000000001</v>
      </c>
      <c r="J87" s="52" t="e">
        <f>INDEX('Plano de Contas'!#REF!,MATCH(tbDez16[[#This Row],[Conta]],'Plano de Contas'!#REF!,0))</f>
        <v>#REF!</v>
      </c>
      <c r="K87" s="52" t="e">
        <f>INDEX('Plano de Contas'!#REF!,MATCH(tbDez16[[#This Row],[Conta]],'Plano de Contas'!#REF!,0))</f>
        <v>#REF!</v>
      </c>
      <c r="L87" t="e">
        <f>INDEX('Plano de Contas'!#REF!,MATCH(tbDez16[[#This Row],[Conta]],'Plano de Contas'!#REF!,0))</f>
        <v>#REF!</v>
      </c>
    </row>
    <row r="88" spans="1:12" x14ac:dyDescent="0.25">
      <c r="A88" t="s">
        <v>244</v>
      </c>
      <c r="B88" t="s">
        <v>1677</v>
      </c>
      <c r="C88" t="s">
        <v>1678</v>
      </c>
      <c r="D88">
        <v>917047.76</v>
      </c>
      <c r="E88">
        <v>0</v>
      </c>
      <c r="F88">
        <v>915849.54</v>
      </c>
      <c r="G88">
        <v>-915849.54</v>
      </c>
      <c r="H88" s="1">
        <v>1198.22</v>
      </c>
      <c r="I88">
        <v>1.1982200000000001</v>
      </c>
      <c r="J88" s="52" t="e">
        <f>INDEX('Plano de Contas'!#REF!,MATCH(tbDez16[[#This Row],[Conta]],'Plano de Contas'!#REF!,0))</f>
        <v>#REF!</v>
      </c>
      <c r="K88" s="52" t="e">
        <f>INDEX('Plano de Contas'!#REF!,MATCH(tbDez16[[#This Row],[Conta]],'Plano de Contas'!#REF!,0))</f>
        <v>#REF!</v>
      </c>
      <c r="L88" t="e">
        <f>INDEX('Plano de Contas'!#REF!,MATCH(tbDez16[[#This Row],[Conta]],'Plano de Contas'!#REF!,0))</f>
        <v>#REF!</v>
      </c>
    </row>
    <row r="89" spans="1:12" x14ac:dyDescent="0.25">
      <c r="A89" t="s">
        <v>246</v>
      </c>
      <c r="B89" t="s">
        <v>1679</v>
      </c>
      <c r="C89" t="s">
        <v>1680</v>
      </c>
      <c r="D89">
        <v>917047.76</v>
      </c>
      <c r="E89">
        <v>0</v>
      </c>
      <c r="F89">
        <v>915849.54</v>
      </c>
      <c r="G89">
        <v>-915849.54</v>
      </c>
      <c r="H89" s="1">
        <v>1198.22</v>
      </c>
      <c r="I89">
        <v>1.1982200000000001</v>
      </c>
      <c r="J89" s="52" t="e">
        <f>INDEX('Plano de Contas'!#REF!,MATCH(tbDez16[[#This Row],[Conta]],'Plano de Contas'!#REF!,0))</f>
        <v>#REF!</v>
      </c>
      <c r="K89" s="52" t="e">
        <f>INDEX('Plano de Contas'!#REF!,MATCH(tbDez16[[#This Row],[Conta]],'Plano de Contas'!#REF!,0))</f>
        <v>#REF!</v>
      </c>
      <c r="L89" t="e">
        <f>INDEX('Plano de Contas'!#REF!,MATCH(tbDez16[[#This Row],[Conta]],'Plano de Contas'!#REF!,0))</f>
        <v>#REF!</v>
      </c>
    </row>
    <row r="90" spans="1:12" x14ac:dyDescent="0.25">
      <c r="A90" t="s">
        <v>248</v>
      </c>
      <c r="B90" t="s">
        <v>1681</v>
      </c>
      <c r="C90" t="s">
        <v>1682</v>
      </c>
      <c r="D90">
        <v>846905.42</v>
      </c>
      <c r="E90">
        <v>0</v>
      </c>
      <c r="F90">
        <v>845707.2</v>
      </c>
      <c r="G90">
        <v>-845707.2</v>
      </c>
      <c r="H90" s="1">
        <v>1198.22</v>
      </c>
      <c r="I90">
        <v>1.1982200000000001</v>
      </c>
      <c r="J90" s="52" t="e">
        <f>INDEX('Plano de Contas'!#REF!,MATCH(tbDez16[[#This Row],[Conta]],'Plano de Contas'!#REF!,0))</f>
        <v>#REF!</v>
      </c>
      <c r="K90" s="52" t="e">
        <f>INDEX('Plano de Contas'!#REF!,MATCH(tbDez16[[#This Row],[Conta]],'Plano de Contas'!#REF!,0))</f>
        <v>#REF!</v>
      </c>
      <c r="L90" t="e">
        <f>INDEX('Plano de Contas'!#REF!,MATCH(tbDez16[[#This Row],[Conta]],'Plano de Contas'!#REF!,0))</f>
        <v>#REF!</v>
      </c>
    </row>
    <row r="91" spans="1:12" x14ac:dyDescent="0.25">
      <c r="A91" t="s">
        <v>1009</v>
      </c>
      <c r="B91" t="s">
        <v>1683</v>
      </c>
      <c r="C91" t="s">
        <v>1684</v>
      </c>
      <c r="D91">
        <v>70142.34</v>
      </c>
      <c r="E91">
        <v>0</v>
      </c>
      <c r="F91">
        <v>70142.34</v>
      </c>
      <c r="G91">
        <v>-70142.34</v>
      </c>
      <c r="H91" s="1">
        <v>0</v>
      </c>
      <c r="I91">
        <v>0</v>
      </c>
      <c r="J91" s="52" t="e">
        <f>INDEX('Plano de Contas'!#REF!,MATCH(tbDez16[[#This Row],[Conta]],'Plano de Contas'!#REF!,0))</f>
        <v>#REF!</v>
      </c>
      <c r="K91" s="52" t="e">
        <f>INDEX('Plano de Contas'!#REF!,MATCH(tbDez16[[#This Row],[Conta]],'Plano de Contas'!#REF!,0))</f>
        <v>#REF!</v>
      </c>
      <c r="L91" t="e">
        <f>INDEX('Plano de Contas'!#REF!,MATCH(tbDez16[[#This Row],[Conta]],'Plano de Contas'!#REF!,0))</f>
        <v>#REF!</v>
      </c>
    </row>
    <row r="92" spans="1:12" x14ac:dyDescent="0.25">
      <c r="A92" t="s">
        <v>250</v>
      </c>
      <c r="B92" t="s">
        <v>1685</v>
      </c>
      <c r="C92" t="s">
        <v>1686</v>
      </c>
      <c r="D92">
        <v>5255619337.1199999</v>
      </c>
      <c r="E92">
        <v>14134416.43</v>
      </c>
      <c r="F92">
        <v>11638133.220000001</v>
      </c>
      <c r="G92">
        <v>2496283.209999999</v>
      </c>
      <c r="H92" s="1">
        <v>5258115620.3299999</v>
      </c>
      <c r="I92">
        <v>5258115.6203300003</v>
      </c>
      <c r="J92" s="52" t="e">
        <f>INDEX('Plano de Contas'!#REF!,MATCH(tbDez16[[#This Row],[Conta]],'Plano de Contas'!#REF!,0))</f>
        <v>#REF!</v>
      </c>
      <c r="K92" s="52" t="e">
        <f>INDEX('Plano de Contas'!#REF!,MATCH(tbDez16[[#This Row],[Conta]],'Plano de Contas'!#REF!,0))</f>
        <v>#REF!</v>
      </c>
      <c r="L92" t="e">
        <f>INDEX('Plano de Contas'!#REF!,MATCH(tbDez16[[#This Row],[Conta]],'Plano de Contas'!#REF!,0))</f>
        <v>#REF!</v>
      </c>
    </row>
    <row r="93" spans="1:12" x14ac:dyDescent="0.25">
      <c r="A93" t="s">
        <v>252</v>
      </c>
      <c r="B93" t="s">
        <v>1687</v>
      </c>
      <c r="C93" t="s">
        <v>1688</v>
      </c>
      <c r="D93">
        <v>47785353.850000001</v>
      </c>
      <c r="E93">
        <v>11852.89</v>
      </c>
      <c r="F93">
        <v>0</v>
      </c>
      <c r="G93">
        <v>11852.89</v>
      </c>
      <c r="H93" s="1">
        <v>47797206.740000002</v>
      </c>
      <c r="I93">
        <v>47797.206740000001</v>
      </c>
      <c r="J93" s="52" t="e">
        <f>INDEX('Plano de Contas'!#REF!,MATCH(tbDez16[[#This Row],[Conta]],'Plano de Contas'!#REF!,0))</f>
        <v>#REF!</v>
      </c>
      <c r="K93" s="52" t="e">
        <f>INDEX('Plano de Contas'!#REF!,MATCH(tbDez16[[#This Row],[Conta]],'Plano de Contas'!#REF!,0))</f>
        <v>#REF!</v>
      </c>
      <c r="L93" t="e">
        <f>INDEX('Plano de Contas'!#REF!,MATCH(tbDez16[[#This Row],[Conta]],'Plano de Contas'!#REF!,0))</f>
        <v>#REF!</v>
      </c>
    </row>
    <row r="94" spans="1:12" x14ac:dyDescent="0.25">
      <c r="A94" t="s">
        <v>1160</v>
      </c>
      <c r="B94" t="s">
        <v>1689</v>
      </c>
      <c r="C94" t="s">
        <v>1690</v>
      </c>
      <c r="D94">
        <v>2070642</v>
      </c>
      <c r="E94">
        <v>7450.96</v>
      </c>
      <c r="F94">
        <v>0</v>
      </c>
      <c r="G94">
        <v>7450.96</v>
      </c>
      <c r="H94" s="1">
        <v>2078092.96</v>
      </c>
      <c r="I94">
        <v>2078.0929599999999</v>
      </c>
      <c r="J94" s="52" t="e">
        <f>INDEX('Plano de Contas'!#REF!,MATCH(tbDez16[[#This Row],[Conta]],'Plano de Contas'!#REF!,0))</f>
        <v>#REF!</v>
      </c>
      <c r="K94" s="52" t="e">
        <f>INDEX('Plano de Contas'!#REF!,MATCH(tbDez16[[#This Row],[Conta]],'Plano de Contas'!#REF!,0))</f>
        <v>#REF!</v>
      </c>
      <c r="L94" t="e">
        <f>INDEX('Plano de Contas'!#REF!,MATCH(tbDez16[[#This Row],[Conta]],'Plano de Contas'!#REF!,0))</f>
        <v>#REF!</v>
      </c>
    </row>
    <row r="95" spans="1:12" x14ac:dyDescent="0.25">
      <c r="A95" t="s">
        <v>1161</v>
      </c>
      <c r="B95" t="s">
        <v>1691</v>
      </c>
      <c r="C95" t="s">
        <v>1690</v>
      </c>
      <c r="D95">
        <v>2070642</v>
      </c>
      <c r="E95">
        <v>7450.96</v>
      </c>
      <c r="F95">
        <v>0</v>
      </c>
      <c r="G95">
        <v>7450.96</v>
      </c>
      <c r="H95" s="1">
        <v>2078092.96</v>
      </c>
      <c r="I95">
        <v>2078.0929599999999</v>
      </c>
      <c r="J95" s="52" t="e">
        <f>INDEX('Plano de Contas'!#REF!,MATCH(tbDez16[[#This Row],[Conta]],'Plano de Contas'!#REF!,0))</f>
        <v>#REF!</v>
      </c>
      <c r="K95" s="52" t="e">
        <f>INDEX('Plano de Contas'!#REF!,MATCH(tbDez16[[#This Row],[Conta]],'Plano de Contas'!#REF!,0))</f>
        <v>#REF!</v>
      </c>
      <c r="L95" t="e">
        <f>INDEX('Plano de Contas'!#REF!,MATCH(tbDez16[[#This Row],[Conta]],'Plano de Contas'!#REF!,0))</f>
        <v>#REF!</v>
      </c>
    </row>
    <row r="96" spans="1:12" x14ac:dyDescent="0.25">
      <c r="A96" t="s">
        <v>1162</v>
      </c>
      <c r="B96" t="s">
        <v>1692</v>
      </c>
      <c r="C96" t="s">
        <v>1693</v>
      </c>
      <c r="D96">
        <v>28163138.539999999</v>
      </c>
      <c r="E96">
        <v>4401.93</v>
      </c>
      <c r="F96">
        <v>0</v>
      </c>
      <c r="G96">
        <v>4401.93</v>
      </c>
      <c r="H96" s="1">
        <v>28167540.469999999</v>
      </c>
      <c r="I96">
        <v>28167.54047</v>
      </c>
      <c r="J96" s="52" t="e">
        <f>INDEX('Plano de Contas'!#REF!,MATCH(tbDez16[[#This Row],[Conta]],'Plano de Contas'!#REF!,0))</f>
        <v>#REF!</v>
      </c>
      <c r="K96" s="52" t="e">
        <f>INDEX('Plano de Contas'!#REF!,MATCH(tbDez16[[#This Row],[Conta]],'Plano de Contas'!#REF!,0))</f>
        <v>#REF!</v>
      </c>
      <c r="L96" t="e">
        <f>INDEX('Plano de Contas'!#REF!,MATCH(tbDez16[[#This Row],[Conta]],'Plano de Contas'!#REF!,0))</f>
        <v>#REF!</v>
      </c>
    </row>
    <row r="97" spans="1:12" x14ac:dyDescent="0.25">
      <c r="A97" t="s">
        <v>1164</v>
      </c>
      <c r="B97" t="s">
        <v>1694</v>
      </c>
      <c r="C97" t="s">
        <v>1695</v>
      </c>
      <c r="D97">
        <v>28163138.539999999</v>
      </c>
      <c r="E97">
        <v>4401.93</v>
      </c>
      <c r="F97">
        <v>0</v>
      </c>
      <c r="G97">
        <v>4401.93</v>
      </c>
      <c r="H97" s="1">
        <v>28167540.469999999</v>
      </c>
      <c r="I97">
        <v>28167.54047</v>
      </c>
      <c r="J97" s="52" t="e">
        <f>INDEX('Plano de Contas'!#REF!,MATCH(tbDez16[[#This Row],[Conta]],'Plano de Contas'!#REF!,0))</f>
        <v>#REF!</v>
      </c>
      <c r="K97" s="52" t="e">
        <f>INDEX('Plano de Contas'!#REF!,MATCH(tbDez16[[#This Row],[Conta]],'Plano de Contas'!#REF!,0))</f>
        <v>#REF!</v>
      </c>
      <c r="L97" t="e">
        <f>INDEX('Plano de Contas'!#REF!,MATCH(tbDez16[[#This Row],[Conta]],'Plano de Contas'!#REF!,0))</f>
        <v>#REF!</v>
      </c>
    </row>
    <row r="98" spans="1:12" x14ac:dyDescent="0.25">
      <c r="A98" t="s">
        <v>254</v>
      </c>
      <c r="B98" t="s">
        <v>1696</v>
      </c>
      <c r="C98" t="s">
        <v>1697</v>
      </c>
      <c r="D98">
        <v>17542139.809999999</v>
      </c>
      <c r="E98">
        <v>0</v>
      </c>
      <c r="F98">
        <v>0</v>
      </c>
      <c r="G98">
        <v>0</v>
      </c>
      <c r="H98" s="1">
        <v>17542139.809999999</v>
      </c>
      <c r="I98">
        <v>17542.139809999997</v>
      </c>
      <c r="J98" s="52" t="e">
        <f>INDEX('Plano de Contas'!#REF!,MATCH(tbDez16[[#This Row],[Conta]],'Plano de Contas'!#REF!,0))</f>
        <v>#REF!</v>
      </c>
      <c r="K98" s="52" t="e">
        <f>INDEX('Plano de Contas'!#REF!,MATCH(tbDez16[[#This Row],[Conta]],'Plano de Contas'!#REF!,0))</f>
        <v>#REF!</v>
      </c>
      <c r="L98" t="e">
        <f>INDEX('Plano de Contas'!#REF!,MATCH(tbDez16[[#This Row],[Conta]],'Plano de Contas'!#REF!,0))</f>
        <v>#REF!</v>
      </c>
    </row>
    <row r="99" spans="1:12" x14ac:dyDescent="0.25">
      <c r="A99" t="s">
        <v>258</v>
      </c>
      <c r="B99" t="s">
        <v>1698</v>
      </c>
      <c r="C99" t="s">
        <v>1699</v>
      </c>
      <c r="D99">
        <v>179076.71</v>
      </c>
      <c r="E99">
        <v>0</v>
      </c>
      <c r="F99">
        <v>0</v>
      </c>
      <c r="G99">
        <v>0</v>
      </c>
      <c r="H99" s="1">
        <v>179076.71</v>
      </c>
      <c r="I99">
        <v>179.07670999999999</v>
      </c>
      <c r="J99" s="52" t="e">
        <f>INDEX('Plano de Contas'!#REF!,MATCH(tbDez16[[#This Row],[Conta]],'Plano de Contas'!#REF!,0))</f>
        <v>#REF!</v>
      </c>
      <c r="K99" s="52" t="e">
        <f>INDEX('Plano de Contas'!#REF!,MATCH(tbDez16[[#This Row],[Conta]],'Plano de Contas'!#REF!,0))</f>
        <v>#REF!</v>
      </c>
      <c r="L99" t="e">
        <f>INDEX('Plano de Contas'!#REF!,MATCH(tbDez16[[#This Row],[Conta]],'Plano de Contas'!#REF!,0))</f>
        <v>#REF!</v>
      </c>
    </row>
    <row r="100" spans="1:12" x14ac:dyDescent="0.25">
      <c r="A100" t="s">
        <v>260</v>
      </c>
      <c r="B100" t="s">
        <v>1700</v>
      </c>
      <c r="C100" t="s">
        <v>1701</v>
      </c>
      <c r="D100">
        <v>17363063.100000001</v>
      </c>
      <c r="E100">
        <v>0</v>
      </c>
      <c r="F100">
        <v>0</v>
      </c>
      <c r="G100">
        <v>0</v>
      </c>
      <c r="H100" s="1">
        <v>17363063.100000001</v>
      </c>
      <c r="I100">
        <v>17363.063100000003</v>
      </c>
      <c r="J100" s="52" t="e">
        <f>INDEX('Plano de Contas'!#REF!,MATCH(tbDez16[[#This Row],[Conta]],'Plano de Contas'!#REF!,0))</f>
        <v>#REF!</v>
      </c>
      <c r="K100" s="52" t="e">
        <f>INDEX('Plano de Contas'!#REF!,MATCH(tbDez16[[#This Row],[Conta]],'Plano de Contas'!#REF!,0))</f>
        <v>#REF!</v>
      </c>
      <c r="L100" t="e">
        <f>INDEX('Plano de Contas'!#REF!,MATCH(tbDez16[[#This Row],[Conta]],'Plano de Contas'!#REF!,0))</f>
        <v>#REF!</v>
      </c>
    </row>
    <row r="101" spans="1:12" x14ac:dyDescent="0.25">
      <c r="A101" t="s">
        <v>273</v>
      </c>
      <c r="B101" t="s">
        <v>1702</v>
      </c>
      <c r="C101" t="s">
        <v>1703</v>
      </c>
      <c r="D101">
        <v>9433.5</v>
      </c>
      <c r="E101">
        <v>0</v>
      </c>
      <c r="F101">
        <v>0</v>
      </c>
      <c r="G101">
        <v>0</v>
      </c>
      <c r="H101" s="1">
        <v>9433.5</v>
      </c>
      <c r="I101">
        <v>9.4335000000000004</v>
      </c>
      <c r="J101" s="52" t="e">
        <f>INDEX('Plano de Contas'!#REF!,MATCH(tbDez16[[#This Row],[Conta]],'Plano de Contas'!#REF!,0))</f>
        <v>#REF!</v>
      </c>
      <c r="K101" s="52" t="e">
        <f>INDEX('Plano de Contas'!#REF!,MATCH(tbDez16[[#This Row],[Conta]],'Plano de Contas'!#REF!,0))</f>
        <v>#REF!</v>
      </c>
      <c r="L101" t="e">
        <f>INDEX('Plano de Contas'!#REF!,MATCH(tbDez16[[#This Row],[Conta]],'Plano de Contas'!#REF!,0))</f>
        <v>#REF!</v>
      </c>
    </row>
    <row r="102" spans="1:12" x14ac:dyDescent="0.25">
      <c r="A102" t="s">
        <v>275</v>
      </c>
      <c r="B102" t="s">
        <v>1704</v>
      </c>
      <c r="C102" t="s">
        <v>1705</v>
      </c>
      <c r="D102">
        <v>9433.5</v>
      </c>
      <c r="E102">
        <v>0</v>
      </c>
      <c r="F102">
        <v>0</v>
      </c>
      <c r="G102">
        <v>0</v>
      </c>
      <c r="H102" s="1">
        <v>9433.5</v>
      </c>
      <c r="I102">
        <v>9.4335000000000004</v>
      </c>
      <c r="J102" s="52" t="e">
        <f>INDEX('Plano de Contas'!#REF!,MATCH(tbDez16[[#This Row],[Conta]],'Plano de Contas'!#REF!,0))</f>
        <v>#REF!</v>
      </c>
      <c r="K102" s="52" t="e">
        <f>INDEX('Plano de Contas'!#REF!,MATCH(tbDez16[[#This Row],[Conta]],'Plano de Contas'!#REF!,0))</f>
        <v>#REF!</v>
      </c>
      <c r="L102" t="e">
        <f>INDEX('Plano de Contas'!#REF!,MATCH(tbDez16[[#This Row],[Conta]],'Plano de Contas'!#REF!,0))</f>
        <v>#REF!</v>
      </c>
    </row>
    <row r="103" spans="1:12" x14ac:dyDescent="0.25">
      <c r="A103" t="s">
        <v>281</v>
      </c>
      <c r="B103" t="s">
        <v>1706</v>
      </c>
      <c r="C103" t="s">
        <v>1707</v>
      </c>
      <c r="D103">
        <v>37574.050000000003</v>
      </c>
      <c r="E103">
        <v>0</v>
      </c>
      <c r="F103">
        <v>0</v>
      </c>
      <c r="G103">
        <v>0</v>
      </c>
      <c r="H103" s="1">
        <v>37574.050000000003</v>
      </c>
      <c r="I103">
        <v>37.57405</v>
      </c>
      <c r="J103" s="52" t="e">
        <f>INDEX('Plano de Contas'!#REF!,MATCH(tbDez16[[#This Row],[Conta]],'Plano de Contas'!#REF!,0))</f>
        <v>#REF!</v>
      </c>
      <c r="K103" s="52" t="e">
        <f>INDEX('Plano de Contas'!#REF!,MATCH(tbDez16[[#This Row],[Conta]],'Plano de Contas'!#REF!,0))</f>
        <v>#REF!</v>
      </c>
      <c r="L103" t="e">
        <f>INDEX('Plano de Contas'!#REF!,MATCH(tbDez16[[#This Row],[Conta]],'Plano de Contas'!#REF!,0))</f>
        <v>#REF!</v>
      </c>
    </row>
    <row r="104" spans="1:12" x14ac:dyDescent="0.25">
      <c r="A104" t="s">
        <v>283</v>
      </c>
      <c r="B104" t="s">
        <v>1708</v>
      </c>
      <c r="C104" t="s">
        <v>1709</v>
      </c>
      <c r="D104">
        <v>36414.07</v>
      </c>
      <c r="E104">
        <v>0</v>
      </c>
      <c r="F104">
        <v>0</v>
      </c>
      <c r="G104">
        <v>0</v>
      </c>
      <c r="H104" s="1">
        <v>36414.07</v>
      </c>
      <c r="I104">
        <v>36.414070000000002</v>
      </c>
      <c r="J104" s="52" t="e">
        <f>INDEX('Plano de Contas'!#REF!,MATCH(tbDez16[[#This Row],[Conta]],'Plano de Contas'!#REF!,0))</f>
        <v>#REF!</v>
      </c>
      <c r="K104" s="52" t="e">
        <f>INDEX('Plano de Contas'!#REF!,MATCH(tbDez16[[#This Row],[Conta]],'Plano de Contas'!#REF!,0))</f>
        <v>#REF!</v>
      </c>
      <c r="L104" t="e">
        <f>INDEX('Plano de Contas'!#REF!,MATCH(tbDez16[[#This Row],[Conta]],'Plano de Contas'!#REF!,0))</f>
        <v>#REF!</v>
      </c>
    </row>
    <row r="105" spans="1:12" x14ac:dyDescent="0.25">
      <c r="A105" t="s">
        <v>285</v>
      </c>
      <c r="B105" t="s">
        <v>1710</v>
      </c>
      <c r="C105" t="s">
        <v>1711</v>
      </c>
      <c r="D105">
        <v>18164.060000000001</v>
      </c>
      <c r="E105">
        <v>0</v>
      </c>
      <c r="F105">
        <v>0</v>
      </c>
      <c r="G105">
        <v>0</v>
      </c>
      <c r="H105" s="1">
        <v>18164.060000000001</v>
      </c>
      <c r="I105">
        <v>18.164060000000003</v>
      </c>
      <c r="J105" s="52" t="e">
        <f>INDEX('Plano de Contas'!#REF!,MATCH(tbDez16[[#This Row],[Conta]],'Plano de Contas'!#REF!,0))</f>
        <v>#REF!</v>
      </c>
      <c r="K105" s="52" t="e">
        <f>INDEX('Plano de Contas'!#REF!,MATCH(tbDez16[[#This Row],[Conta]],'Plano de Contas'!#REF!,0))</f>
        <v>#REF!</v>
      </c>
      <c r="L105" t="e">
        <f>INDEX('Plano de Contas'!#REF!,MATCH(tbDez16[[#This Row],[Conta]],'Plano de Contas'!#REF!,0))</f>
        <v>#REF!</v>
      </c>
    </row>
    <row r="106" spans="1:12" x14ac:dyDescent="0.25">
      <c r="A106" t="s">
        <v>287</v>
      </c>
      <c r="B106" t="s">
        <v>1712</v>
      </c>
      <c r="C106" t="s">
        <v>1713</v>
      </c>
      <c r="D106">
        <v>18250.009999999998</v>
      </c>
      <c r="E106">
        <v>0</v>
      </c>
      <c r="F106">
        <v>0</v>
      </c>
      <c r="G106">
        <v>0</v>
      </c>
      <c r="H106" s="1">
        <v>18250.009999999998</v>
      </c>
      <c r="I106">
        <v>18.25001</v>
      </c>
      <c r="J106" s="52" t="e">
        <f>INDEX('Plano de Contas'!#REF!,MATCH(tbDez16[[#This Row],[Conta]],'Plano de Contas'!#REF!,0))</f>
        <v>#REF!</v>
      </c>
      <c r="K106" s="52" t="e">
        <f>INDEX('Plano de Contas'!#REF!,MATCH(tbDez16[[#This Row],[Conta]],'Plano de Contas'!#REF!,0))</f>
        <v>#REF!</v>
      </c>
      <c r="L106" t="e">
        <f>INDEX('Plano de Contas'!#REF!,MATCH(tbDez16[[#This Row],[Conta]],'Plano de Contas'!#REF!,0))</f>
        <v>#REF!</v>
      </c>
    </row>
    <row r="107" spans="1:12" x14ac:dyDescent="0.25">
      <c r="A107" t="s">
        <v>289</v>
      </c>
      <c r="B107" t="s">
        <v>1714</v>
      </c>
      <c r="C107" t="s">
        <v>1715</v>
      </c>
      <c r="D107">
        <v>3216838.38</v>
      </c>
      <c r="E107">
        <v>0</v>
      </c>
      <c r="F107">
        <v>0</v>
      </c>
      <c r="G107">
        <v>0</v>
      </c>
      <c r="H107" s="1">
        <v>3216838.38</v>
      </c>
      <c r="I107">
        <v>3216.8383799999997</v>
      </c>
      <c r="J107" s="52" t="e">
        <f>INDEX('Plano de Contas'!#REF!,MATCH(tbDez16[[#This Row],[Conta]],'Plano de Contas'!#REF!,0))</f>
        <v>#REF!</v>
      </c>
      <c r="K107" s="52" t="e">
        <f>INDEX('Plano de Contas'!#REF!,MATCH(tbDez16[[#This Row],[Conta]],'Plano de Contas'!#REF!,0))</f>
        <v>#REF!</v>
      </c>
      <c r="L107" t="e">
        <f>INDEX('Plano de Contas'!#REF!,MATCH(tbDez16[[#This Row],[Conta]],'Plano de Contas'!#REF!,0))</f>
        <v>#REF!</v>
      </c>
    </row>
    <row r="108" spans="1:12" x14ac:dyDescent="0.25">
      <c r="A108" t="s">
        <v>291</v>
      </c>
      <c r="B108" t="s">
        <v>1716</v>
      </c>
      <c r="C108" t="s">
        <v>1717</v>
      </c>
      <c r="D108">
        <v>3216418.22</v>
      </c>
      <c r="E108">
        <v>0</v>
      </c>
      <c r="F108">
        <v>0</v>
      </c>
      <c r="G108">
        <v>0</v>
      </c>
      <c r="H108" s="1">
        <v>3216418.22</v>
      </c>
      <c r="I108">
        <v>3216.41822</v>
      </c>
      <c r="J108" s="52" t="e">
        <f>INDEX('Plano de Contas'!#REF!,MATCH(tbDez16[[#This Row],[Conta]],'Plano de Contas'!#REF!,0))</f>
        <v>#REF!</v>
      </c>
      <c r="K108" s="52" t="e">
        <f>INDEX('Plano de Contas'!#REF!,MATCH(tbDez16[[#This Row],[Conta]],'Plano de Contas'!#REF!,0))</f>
        <v>#REF!</v>
      </c>
      <c r="L108" t="e">
        <f>INDEX('Plano de Contas'!#REF!,MATCH(tbDez16[[#This Row],[Conta]],'Plano de Contas'!#REF!,0))</f>
        <v>#REF!</v>
      </c>
    </row>
    <row r="109" spans="1:12" x14ac:dyDescent="0.25">
      <c r="A109" t="s">
        <v>293</v>
      </c>
      <c r="B109" t="s">
        <v>1718</v>
      </c>
      <c r="C109" t="s">
        <v>1719</v>
      </c>
      <c r="D109">
        <v>420.16</v>
      </c>
      <c r="E109">
        <v>0</v>
      </c>
      <c r="F109">
        <v>0</v>
      </c>
      <c r="G109">
        <v>0</v>
      </c>
      <c r="H109" s="1">
        <v>420.16</v>
      </c>
      <c r="I109">
        <v>0.42016000000000003</v>
      </c>
      <c r="J109" s="52" t="e">
        <f>INDEX('Plano de Contas'!#REF!,MATCH(tbDez16[[#This Row],[Conta]],'Plano de Contas'!#REF!,0))</f>
        <v>#REF!</v>
      </c>
      <c r="K109" s="52" t="e">
        <f>INDEX('Plano de Contas'!#REF!,MATCH(tbDez16[[#This Row],[Conta]],'Plano de Contas'!#REF!,0))</f>
        <v>#REF!</v>
      </c>
      <c r="L109" t="e">
        <f>INDEX('Plano de Contas'!#REF!,MATCH(tbDez16[[#This Row],[Conta]],'Plano de Contas'!#REF!,0))</f>
        <v>#REF!</v>
      </c>
    </row>
    <row r="110" spans="1:12" x14ac:dyDescent="0.25">
      <c r="A110" t="s">
        <v>295</v>
      </c>
      <c r="B110" t="s">
        <v>1720</v>
      </c>
      <c r="C110" t="s">
        <v>1721</v>
      </c>
      <c r="D110">
        <v>-3215678.4</v>
      </c>
      <c r="E110">
        <v>0</v>
      </c>
      <c r="F110">
        <v>0</v>
      </c>
      <c r="G110">
        <v>0</v>
      </c>
      <c r="H110" s="1">
        <v>-3215678.4</v>
      </c>
      <c r="I110">
        <v>-3215.6783999999998</v>
      </c>
      <c r="J110" s="52" t="e">
        <f>INDEX('Plano de Contas'!#REF!,MATCH(tbDez16[[#This Row],[Conta]],'Plano de Contas'!#REF!,0))</f>
        <v>#REF!</v>
      </c>
      <c r="K110" s="52" t="e">
        <f>INDEX('Plano de Contas'!#REF!,MATCH(tbDez16[[#This Row],[Conta]],'Plano de Contas'!#REF!,0))</f>
        <v>#REF!</v>
      </c>
      <c r="L110" t="e">
        <f>INDEX('Plano de Contas'!#REF!,MATCH(tbDez16[[#This Row],[Conta]],'Plano de Contas'!#REF!,0))</f>
        <v>#REF!</v>
      </c>
    </row>
    <row r="111" spans="1:12" x14ac:dyDescent="0.25">
      <c r="A111" t="s">
        <v>297</v>
      </c>
      <c r="B111" t="s">
        <v>1722</v>
      </c>
      <c r="C111" t="s">
        <v>1723</v>
      </c>
      <c r="D111">
        <v>-3215678.4</v>
      </c>
      <c r="E111">
        <v>0</v>
      </c>
      <c r="F111">
        <v>0</v>
      </c>
      <c r="G111">
        <v>0</v>
      </c>
      <c r="H111" s="1">
        <v>-3215678.4</v>
      </c>
      <c r="I111">
        <v>-3215.6783999999998</v>
      </c>
      <c r="J111" s="52" t="e">
        <f>INDEX('Plano de Contas'!#REF!,MATCH(tbDez16[[#This Row],[Conta]],'Plano de Contas'!#REF!,0))</f>
        <v>#REF!</v>
      </c>
      <c r="K111" s="52" t="e">
        <f>INDEX('Plano de Contas'!#REF!,MATCH(tbDez16[[#This Row],[Conta]],'Plano de Contas'!#REF!,0))</f>
        <v>#REF!</v>
      </c>
      <c r="L111" t="e">
        <f>INDEX('Plano de Contas'!#REF!,MATCH(tbDez16[[#This Row],[Conta]],'Plano de Contas'!#REF!,0))</f>
        <v>#REF!</v>
      </c>
    </row>
    <row r="112" spans="1:12" x14ac:dyDescent="0.25">
      <c r="A112" t="s">
        <v>299</v>
      </c>
      <c r="B112" t="s">
        <v>1724</v>
      </c>
      <c r="C112" t="s">
        <v>1725</v>
      </c>
      <c r="D112">
        <v>5157131533.6400003</v>
      </c>
      <c r="E112">
        <v>12937486.93</v>
      </c>
      <c r="F112">
        <v>11395728.630000001</v>
      </c>
      <c r="G112">
        <v>1541758.2999999989</v>
      </c>
      <c r="H112" s="1">
        <v>5158673291.9399996</v>
      </c>
      <c r="I112">
        <v>5158673.2919399999</v>
      </c>
      <c r="J112" s="52" t="e">
        <f>INDEX('Plano de Contas'!#REF!,MATCH(tbDez16[[#This Row],[Conta]],'Plano de Contas'!#REF!,0))</f>
        <v>#REF!</v>
      </c>
      <c r="K112" s="52" t="e">
        <f>INDEX('Plano de Contas'!#REF!,MATCH(tbDez16[[#This Row],[Conta]],'Plano de Contas'!#REF!,0))</f>
        <v>#REF!</v>
      </c>
      <c r="L112" t="e">
        <f>INDEX('Plano de Contas'!#REF!,MATCH(tbDez16[[#This Row],[Conta]],'Plano de Contas'!#REF!,0))</f>
        <v>#REF!</v>
      </c>
    </row>
    <row r="113" spans="1:12" x14ac:dyDescent="0.25">
      <c r="A113" t="s">
        <v>301</v>
      </c>
      <c r="B113" t="s">
        <v>1726</v>
      </c>
      <c r="C113" t="s">
        <v>1727</v>
      </c>
      <c r="D113">
        <v>1448493328.4100001</v>
      </c>
      <c r="E113">
        <v>8081388.3200000003</v>
      </c>
      <c r="F113">
        <v>2340</v>
      </c>
      <c r="G113">
        <v>8079048.3200000003</v>
      </c>
      <c r="H113" s="1">
        <v>1456572376.73</v>
      </c>
      <c r="I113">
        <v>1456572.3767300001</v>
      </c>
      <c r="J113" s="52" t="e">
        <f>INDEX('Plano de Contas'!#REF!,MATCH(tbDez16[[#This Row],[Conta]],'Plano de Contas'!#REF!,0))</f>
        <v>#REF!</v>
      </c>
      <c r="K113" s="52" t="e">
        <f>INDEX('Plano de Contas'!#REF!,MATCH(tbDez16[[#This Row],[Conta]],'Plano de Contas'!#REF!,0))</f>
        <v>#REF!</v>
      </c>
      <c r="L113" t="e">
        <f>INDEX('Plano de Contas'!#REF!,MATCH(tbDez16[[#This Row],[Conta]],'Plano de Contas'!#REF!,0))</f>
        <v>#REF!</v>
      </c>
    </row>
    <row r="114" spans="1:12" x14ac:dyDescent="0.25">
      <c r="A114" t="s">
        <v>303</v>
      </c>
      <c r="B114" t="s">
        <v>1728</v>
      </c>
      <c r="C114" t="s">
        <v>1637</v>
      </c>
      <c r="D114">
        <v>158058666.28</v>
      </c>
      <c r="E114">
        <v>0</v>
      </c>
      <c r="F114">
        <v>0</v>
      </c>
      <c r="G114">
        <v>0</v>
      </c>
      <c r="H114" s="1">
        <v>158058666.28</v>
      </c>
      <c r="I114" s="50">
        <v>158058.66628</v>
      </c>
      <c r="J114" s="52" t="e">
        <f>INDEX('Plano de Contas'!#REF!,MATCH(tbDez16[[#This Row],[Conta]],'Plano de Contas'!#REF!,0))</f>
        <v>#REF!</v>
      </c>
      <c r="K114" s="52" t="e">
        <f>INDEX('Plano de Contas'!#REF!,MATCH(tbDez16[[#This Row],[Conta]],'Plano de Contas'!#REF!,0))</f>
        <v>#REF!</v>
      </c>
      <c r="L114" t="e">
        <f>INDEX('Plano de Contas'!#REF!,MATCH(tbDez16[[#This Row],[Conta]],'Plano de Contas'!#REF!,0))</f>
        <v>#REF!</v>
      </c>
    </row>
    <row r="115" spans="1:12" x14ac:dyDescent="0.25">
      <c r="A115" t="s">
        <v>304</v>
      </c>
      <c r="B115" t="s">
        <v>1729</v>
      </c>
      <c r="C115" t="s">
        <v>1730</v>
      </c>
      <c r="D115">
        <v>4642772.51</v>
      </c>
      <c r="E115">
        <v>0</v>
      </c>
      <c r="F115">
        <v>0</v>
      </c>
      <c r="G115">
        <v>0</v>
      </c>
      <c r="H115" s="1">
        <v>4642772.51</v>
      </c>
      <c r="I115">
        <v>4642.7725099999998</v>
      </c>
      <c r="J115" s="52" t="e">
        <f>INDEX('Plano de Contas'!#REF!,MATCH(tbDez16[[#This Row],[Conta]],'Plano de Contas'!#REF!,0))</f>
        <v>#REF!</v>
      </c>
      <c r="K115" s="52" t="e">
        <f>INDEX('Plano de Contas'!#REF!,MATCH(tbDez16[[#This Row],[Conta]],'Plano de Contas'!#REF!,0))</f>
        <v>#REF!</v>
      </c>
      <c r="L115" t="e">
        <f>INDEX('Plano de Contas'!#REF!,MATCH(tbDez16[[#This Row],[Conta]],'Plano de Contas'!#REF!,0))</f>
        <v>#REF!</v>
      </c>
    </row>
    <row r="116" spans="1:12" x14ac:dyDescent="0.25">
      <c r="A116" t="s">
        <v>306</v>
      </c>
      <c r="B116" t="s">
        <v>1731</v>
      </c>
      <c r="C116" t="s">
        <v>1732</v>
      </c>
      <c r="D116">
        <v>112697259.28</v>
      </c>
      <c r="E116">
        <v>0</v>
      </c>
      <c r="F116">
        <v>0</v>
      </c>
      <c r="G116">
        <v>0</v>
      </c>
      <c r="H116" s="1">
        <v>112697259.28</v>
      </c>
      <c r="I116">
        <v>112697.25928</v>
      </c>
      <c r="J116" s="52" t="e">
        <f>INDEX('Plano de Contas'!#REF!,MATCH(tbDez16[[#This Row],[Conta]],'Plano de Contas'!#REF!,0))</f>
        <v>#REF!</v>
      </c>
      <c r="K116" s="52" t="e">
        <f>INDEX('Plano de Contas'!#REF!,MATCH(tbDez16[[#This Row],[Conta]],'Plano de Contas'!#REF!,0))</f>
        <v>#REF!</v>
      </c>
      <c r="L116" t="e">
        <f>INDEX('Plano de Contas'!#REF!,MATCH(tbDez16[[#This Row],[Conta]],'Plano de Contas'!#REF!,0))</f>
        <v>#REF!</v>
      </c>
    </row>
    <row r="117" spans="1:12" x14ac:dyDescent="0.25">
      <c r="A117" t="s">
        <v>308</v>
      </c>
      <c r="B117" t="s">
        <v>1733</v>
      </c>
      <c r="C117" t="s">
        <v>1734</v>
      </c>
      <c r="D117">
        <v>1620085.75</v>
      </c>
      <c r="E117">
        <v>2340</v>
      </c>
      <c r="F117">
        <v>0</v>
      </c>
      <c r="G117">
        <v>2340</v>
      </c>
      <c r="H117" s="1">
        <v>1622425.75</v>
      </c>
      <c r="I117">
        <v>1622.4257500000001</v>
      </c>
      <c r="J117" s="52" t="e">
        <f>INDEX('Plano de Contas'!#REF!,MATCH(tbDez16[[#This Row],[Conta]],'Plano de Contas'!#REF!,0))</f>
        <v>#REF!</v>
      </c>
      <c r="K117" s="52" t="e">
        <f>INDEX('Plano de Contas'!#REF!,MATCH(tbDez16[[#This Row],[Conta]],'Plano de Contas'!#REF!,0))</f>
        <v>#REF!</v>
      </c>
      <c r="L117" t="e">
        <f>INDEX('Plano de Contas'!#REF!,MATCH(tbDez16[[#This Row],[Conta]],'Plano de Contas'!#REF!,0))</f>
        <v>#REF!</v>
      </c>
    </row>
    <row r="118" spans="1:12" x14ac:dyDescent="0.25">
      <c r="A118" t="s">
        <v>310</v>
      </c>
      <c r="B118" t="s">
        <v>1735</v>
      </c>
      <c r="C118" t="s">
        <v>1736</v>
      </c>
      <c r="D118">
        <v>295686.71000000002</v>
      </c>
      <c r="E118">
        <v>0</v>
      </c>
      <c r="F118">
        <v>0</v>
      </c>
      <c r="G118">
        <v>0</v>
      </c>
      <c r="H118" s="1">
        <v>295686.71000000002</v>
      </c>
      <c r="I118">
        <v>295.68671000000001</v>
      </c>
      <c r="J118" s="52" t="e">
        <f>INDEX('Plano de Contas'!#REF!,MATCH(tbDez16[[#This Row],[Conta]],'Plano de Contas'!#REF!,0))</f>
        <v>#REF!</v>
      </c>
      <c r="K118" s="52" t="e">
        <f>INDEX('Plano de Contas'!#REF!,MATCH(tbDez16[[#This Row],[Conta]],'Plano de Contas'!#REF!,0))</f>
        <v>#REF!</v>
      </c>
      <c r="L118" t="e">
        <f>INDEX('Plano de Contas'!#REF!,MATCH(tbDez16[[#This Row],[Conta]],'Plano de Contas'!#REF!,0))</f>
        <v>#REF!</v>
      </c>
    </row>
    <row r="119" spans="1:12" x14ac:dyDescent="0.25">
      <c r="A119" t="s">
        <v>312</v>
      </c>
      <c r="B119" t="s">
        <v>1737</v>
      </c>
      <c r="C119" t="s">
        <v>1738</v>
      </c>
      <c r="D119">
        <v>4000567.12</v>
      </c>
      <c r="E119">
        <v>4828</v>
      </c>
      <c r="F119">
        <v>2340</v>
      </c>
      <c r="G119">
        <v>2488</v>
      </c>
      <c r="H119" s="1">
        <v>4003055.12</v>
      </c>
      <c r="I119">
        <v>4003.05512</v>
      </c>
      <c r="J119" s="52" t="e">
        <f>INDEX('Plano de Contas'!#REF!,MATCH(tbDez16[[#This Row],[Conta]],'Plano de Contas'!#REF!,0))</f>
        <v>#REF!</v>
      </c>
      <c r="K119" s="52" t="e">
        <f>INDEX('Plano de Contas'!#REF!,MATCH(tbDez16[[#This Row],[Conta]],'Plano de Contas'!#REF!,0))</f>
        <v>#REF!</v>
      </c>
      <c r="L119" t="e">
        <f>INDEX('Plano de Contas'!#REF!,MATCH(tbDez16[[#This Row],[Conta]],'Plano de Contas'!#REF!,0))</f>
        <v>#REF!</v>
      </c>
    </row>
    <row r="120" spans="1:12" x14ac:dyDescent="0.25">
      <c r="A120" t="s">
        <v>314</v>
      </c>
      <c r="B120" t="s">
        <v>1739</v>
      </c>
      <c r="C120" t="s">
        <v>1740</v>
      </c>
      <c r="D120">
        <v>1197028.1399999999</v>
      </c>
      <c r="E120">
        <v>0</v>
      </c>
      <c r="F120">
        <v>0</v>
      </c>
      <c r="G120">
        <v>0</v>
      </c>
      <c r="H120" s="1">
        <v>1197028.1399999999</v>
      </c>
      <c r="I120">
        <v>1197.0281399999999</v>
      </c>
      <c r="J120" s="52" t="e">
        <f>INDEX('Plano de Contas'!#REF!,MATCH(tbDez16[[#This Row],[Conta]],'Plano de Contas'!#REF!,0))</f>
        <v>#REF!</v>
      </c>
      <c r="K120" s="52" t="e">
        <f>INDEX('Plano de Contas'!#REF!,MATCH(tbDez16[[#This Row],[Conta]],'Plano de Contas'!#REF!,0))</f>
        <v>#REF!</v>
      </c>
      <c r="L120" t="e">
        <f>INDEX('Plano de Contas'!#REF!,MATCH(tbDez16[[#This Row],[Conta]],'Plano de Contas'!#REF!,0))</f>
        <v>#REF!</v>
      </c>
    </row>
    <row r="121" spans="1:12" x14ac:dyDescent="0.25">
      <c r="A121" t="s">
        <v>316</v>
      </c>
      <c r="B121" t="s">
        <v>1741</v>
      </c>
      <c r="C121" t="s">
        <v>1742</v>
      </c>
      <c r="D121">
        <v>2493541.17</v>
      </c>
      <c r="E121">
        <v>0</v>
      </c>
      <c r="F121">
        <v>0</v>
      </c>
      <c r="G121">
        <v>0</v>
      </c>
      <c r="H121" s="1">
        <v>2493541.17</v>
      </c>
      <c r="I121">
        <v>2493.54117</v>
      </c>
      <c r="J121" s="52" t="e">
        <f>INDEX('Plano de Contas'!#REF!,MATCH(tbDez16[[#This Row],[Conta]],'Plano de Contas'!#REF!,0))</f>
        <v>#REF!</v>
      </c>
      <c r="K121" s="52" t="e">
        <f>INDEX('Plano de Contas'!#REF!,MATCH(tbDez16[[#This Row],[Conta]],'Plano de Contas'!#REF!,0))</f>
        <v>#REF!</v>
      </c>
      <c r="L121" t="e">
        <f>INDEX('Plano de Contas'!#REF!,MATCH(tbDez16[[#This Row],[Conta]],'Plano de Contas'!#REF!,0))</f>
        <v>#REF!</v>
      </c>
    </row>
    <row r="122" spans="1:12" x14ac:dyDescent="0.25">
      <c r="A122" t="s">
        <v>322</v>
      </c>
      <c r="B122" t="s">
        <v>1743</v>
      </c>
      <c r="C122" t="s">
        <v>1744</v>
      </c>
      <c r="D122">
        <v>60904.55</v>
      </c>
      <c r="E122">
        <v>0</v>
      </c>
      <c r="F122">
        <v>0</v>
      </c>
      <c r="G122">
        <v>0</v>
      </c>
      <c r="H122" s="1">
        <v>60904.55</v>
      </c>
      <c r="I122">
        <v>60.90455</v>
      </c>
      <c r="J122" s="52" t="e">
        <f>INDEX('Plano de Contas'!#REF!,MATCH(tbDez16[[#This Row],[Conta]],'Plano de Contas'!#REF!,0))</f>
        <v>#REF!</v>
      </c>
      <c r="K122" s="52" t="e">
        <f>INDEX('Plano de Contas'!#REF!,MATCH(tbDez16[[#This Row],[Conta]],'Plano de Contas'!#REF!,0))</f>
        <v>#REF!</v>
      </c>
      <c r="L122" t="e">
        <f>INDEX('Plano de Contas'!#REF!,MATCH(tbDez16[[#This Row],[Conta]],'Plano de Contas'!#REF!,0))</f>
        <v>#REF!</v>
      </c>
    </row>
    <row r="123" spans="1:12" x14ac:dyDescent="0.25">
      <c r="A123" t="s">
        <v>328</v>
      </c>
      <c r="B123" t="s">
        <v>1745</v>
      </c>
      <c r="C123" t="s">
        <v>1746</v>
      </c>
      <c r="D123">
        <v>60074480.219999999</v>
      </c>
      <c r="E123">
        <v>0</v>
      </c>
      <c r="F123">
        <v>0</v>
      </c>
      <c r="G123">
        <v>0</v>
      </c>
      <c r="H123" s="1">
        <v>60074480.219999999</v>
      </c>
      <c r="I123">
        <v>60074.480219999998</v>
      </c>
      <c r="J123" s="52" t="e">
        <f>INDEX('Plano de Contas'!#REF!,MATCH(tbDez16[[#This Row],[Conta]],'Plano de Contas'!#REF!,0))</f>
        <v>#REF!</v>
      </c>
      <c r="K123" s="52" t="e">
        <f>INDEX('Plano de Contas'!#REF!,MATCH(tbDez16[[#This Row],[Conta]],'Plano de Contas'!#REF!,0))</f>
        <v>#REF!</v>
      </c>
      <c r="L123" t="e">
        <f>INDEX('Plano de Contas'!#REF!,MATCH(tbDez16[[#This Row],[Conta]],'Plano de Contas'!#REF!,0))</f>
        <v>#REF!</v>
      </c>
    </row>
    <row r="124" spans="1:12" x14ac:dyDescent="0.25">
      <c r="A124" t="s">
        <v>336</v>
      </c>
      <c r="B124" t="s">
        <v>1747</v>
      </c>
      <c r="C124" t="s">
        <v>1748</v>
      </c>
      <c r="D124">
        <v>20510552.210000001</v>
      </c>
      <c r="E124">
        <v>0</v>
      </c>
      <c r="F124">
        <v>0</v>
      </c>
      <c r="G124">
        <v>0</v>
      </c>
      <c r="H124" s="1">
        <v>20510552.210000001</v>
      </c>
      <c r="I124">
        <v>20510.552210000002</v>
      </c>
      <c r="J124" s="52" t="e">
        <f>INDEX('Plano de Contas'!#REF!,MATCH(tbDez16[[#This Row],[Conta]],'Plano de Contas'!#REF!,0))</f>
        <v>#REF!</v>
      </c>
      <c r="K124" s="52" t="e">
        <f>INDEX('Plano de Contas'!#REF!,MATCH(tbDez16[[#This Row],[Conta]],'Plano de Contas'!#REF!,0))</f>
        <v>#REF!</v>
      </c>
      <c r="L124" t="e">
        <f>INDEX('Plano de Contas'!#REF!,MATCH(tbDez16[[#This Row],[Conta]],'Plano de Contas'!#REF!,0))</f>
        <v>#REF!</v>
      </c>
    </row>
    <row r="125" spans="1:12" x14ac:dyDescent="0.25">
      <c r="A125" t="s">
        <v>340</v>
      </c>
      <c r="B125" t="s">
        <v>1749</v>
      </c>
      <c r="C125" t="s">
        <v>1750</v>
      </c>
      <c r="D125">
        <v>1511363.46</v>
      </c>
      <c r="E125">
        <v>0</v>
      </c>
      <c r="F125">
        <v>0</v>
      </c>
      <c r="G125">
        <v>0</v>
      </c>
      <c r="H125" s="1">
        <v>1511363.46</v>
      </c>
      <c r="I125">
        <v>1511.36346</v>
      </c>
      <c r="J125" s="52" t="e">
        <f>INDEX('Plano de Contas'!#REF!,MATCH(tbDez16[[#This Row],[Conta]],'Plano de Contas'!#REF!,0))</f>
        <v>#REF!</v>
      </c>
      <c r="K125" s="52" t="e">
        <f>INDEX('Plano de Contas'!#REF!,MATCH(tbDez16[[#This Row],[Conta]],'Plano de Contas'!#REF!,0))</f>
        <v>#REF!</v>
      </c>
      <c r="L125" t="e">
        <f>INDEX('Plano de Contas'!#REF!,MATCH(tbDez16[[#This Row],[Conta]],'Plano de Contas'!#REF!,0))</f>
        <v>#REF!</v>
      </c>
    </row>
    <row r="126" spans="1:12" x14ac:dyDescent="0.25">
      <c r="A126" t="s">
        <v>344</v>
      </c>
      <c r="B126" t="s">
        <v>1751</v>
      </c>
      <c r="C126" t="s">
        <v>1752</v>
      </c>
      <c r="D126">
        <v>489670.98</v>
      </c>
      <c r="E126">
        <v>0</v>
      </c>
      <c r="F126">
        <v>0</v>
      </c>
      <c r="G126">
        <v>0</v>
      </c>
      <c r="H126" s="1">
        <v>489670.98</v>
      </c>
      <c r="I126">
        <v>489.67097999999999</v>
      </c>
      <c r="J126" s="52" t="e">
        <f>INDEX('Plano de Contas'!#REF!,MATCH(tbDez16[[#This Row],[Conta]],'Plano de Contas'!#REF!,0))</f>
        <v>#REF!</v>
      </c>
      <c r="K126" s="52" t="e">
        <f>INDEX('Plano de Contas'!#REF!,MATCH(tbDez16[[#This Row],[Conta]],'Plano de Contas'!#REF!,0))</f>
        <v>#REF!</v>
      </c>
      <c r="L126" t="e">
        <f>INDEX('Plano de Contas'!#REF!,MATCH(tbDez16[[#This Row],[Conta]],'Plano de Contas'!#REF!,0))</f>
        <v>#REF!</v>
      </c>
    </row>
    <row r="127" spans="1:12" x14ac:dyDescent="0.25">
      <c r="A127" t="s">
        <v>346</v>
      </c>
      <c r="B127" t="s">
        <v>1753</v>
      </c>
      <c r="C127" t="s">
        <v>1754</v>
      </c>
      <c r="D127">
        <v>4112968.51</v>
      </c>
      <c r="E127">
        <v>0</v>
      </c>
      <c r="F127">
        <v>0</v>
      </c>
      <c r="G127">
        <v>0</v>
      </c>
      <c r="H127" s="1">
        <v>4112968.51</v>
      </c>
      <c r="I127">
        <v>4112.9685099999997</v>
      </c>
      <c r="J127" s="52" t="e">
        <f>INDEX('Plano de Contas'!#REF!,MATCH(tbDez16[[#This Row],[Conta]],'Plano de Contas'!#REF!,0))</f>
        <v>#REF!</v>
      </c>
      <c r="K127" s="52" t="e">
        <f>INDEX('Plano de Contas'!#REF!,MATCH(tbDez16[[#This Row],[Conta]],'Plano de Contas'!#REF!,0))</f>
        <v>#REF!</v>
      </c>
      <c r="L127" t="e">
        <f>INDEX('Plano de Contas'!#REF!,MATCH(tbDez16[[#This Row],[Conta]],'Plano de Contas'!#REF!,0))</f>
        <v>#REF!</v>
      </c>
    </row>
    <row r="128" spans="1:12" x14ac:dyDescent="0.25">
      <c r="A128" t="s">
        <v>350</v>
      </c>
      <c r="B128" t="s">
        <v>1755</v>
      </c>
      <c r="C128" t="s">
        <v>1756</v>
      </c>
      <c r="D128">
        <v>20849639.489999998</v>
      </c>
      <c r="E128">
        <v>0</v>
      </c>
      <c r="F128">
        <v>0</v>
      </c>
      <c r="G128">
        <v>0</v>
      </c>
      <c r="H128" s="1">
        <v>20849639.489999998</v>
      </c>
      <c r="I128">
        <v>20849.639489999998</v>
      </c>
      <c r="J128" s="52" t="e">
        <f>INDEX('Plano de Contas'!#REF!,MATCH(tbDez16[[#This Row],[Conta]],'Plano de Contas'!#REF!,0))</f>
        <v>#REF!</v>
      </c>
      <c r="K128" s="52" t="e">
        <f>INDEX('Plano de Contas'!#REF!,MATCH(tbDez16[[#This Row],[Conta]],'Plano de Contas'!#REF!,0))</f>
        <v>#REF!</v>
      </c>
      <c r="L128" t="e">
        <f>INDEX('Plano de Contas'!#REF!,MATCH(tbDez16[[#This Row],[Conta]],'Plano de Contas'!#REF!,0))</f>
        <v>#REF!</v>
      </c>
    </row>
    <row r="129" spans="1:12" x14ac:dyDescent="0.25">
      <c r="A129" t="s">
        <v>1014</v>
      </c>
      <c r="B129" t="s">
        <v>1757</v>
      </c>
      <c r="C129" t="s">
        <v>1758</v>
      </c>
      <c r="D129">
        <v>5688861.7400000002</v>
      </c>
      <c r="E129">
        <v>0</v>
      </c>
      <c r="F129">
        <v>0</v>
      </c>
      <c r="G129">
        <v>0</v>
      </c>
      <c r="H129" s="1">
        <v>5688861.7400000002</v>
      </c>
      <c r="I129">
        <v>5688.8617400000003</v>
      </c>
      <c r="J129" s="52" t="e">
        <f>INDEX('Plano de Contas'!#REF!,MATCH(tbDez16[[#This Row],[Conta]],'Plano de Contas'!#REF!,0))</f>
        <v>#REF!</v>
      </c>
      <c r="K129" s="52" t="e">
        <f>INDEX('Plano de Contas'!#REF!,MATCH(tbDez16[[#This Row],[Conta]],'Plano de Contas'!#REF!,0))</f>
        <v>#REF!</v>
      </c>
      <c r="L129" t="e">
        <f>INDEX('Plano de Contas'!#REF!,MATCH(tbDez16[[#This Row],[Conta]],'Plano de Contas'!#REF!,0))</f>
        <v>#REF!</v>
      </c>
    </row>
    <row r="130" spans="1:12" x14ac:dyDescent="0.25">
      <c r="A130" t="s">
        <v>1016</v>
      </c>
      <c r="B130" t="s">
        <v>1759</v>
      </c>
      <c r="C130" t="s">
        <v>1760</v>
      </c>
      <c r="D130">
        <v>32135051.829999998</v>
      </c>
      <c r="E130">
        <v>0</v>
      </c>
      <c r="F130">
        <v>0</v>
      </c>
      <c r="G130">
        <v>0</v>
      </c>
      <c r="H130" s="1">
        <v>32135051.829999998</v>
      </c>
      <c r="I130">
        <v>32135.051829999997</v>
      </c>
      <c r="J130" s="52" t="e">
        <f>INDEX('Plano de Contas'!#REF!,MATCH(tbDez16[[#This Row],[Conta]],'Plano de Contas'!#REF!,0))</f>
        <v>#REF!</v>
      </c>
      <c r="K130" s="52" t="e">
        <f>INDEX('Plano de Contas'!#REF!,MATCH(tbDez16[[#This Row],[Conta]],'Plano de Contas'!#REF!,0))</f>
        <v>#REF!</v>
      </c>
      <c r="L130" t="e">
        <f>INDEX('Plano de Contas'!#REF!,MATCH(tbDez16[[#This Row],[Conta]],'Plano de Contas'!#REF!,0))</f>
        <v>#REF!</v>
      </c>
    </row>
    <row r="131" spans="1:12" x14ac:dyDescent="0.25">
      <c r="A131" t="s">
        <v>1020</v>
      </c>
      <c r="B131" t="s">
        <v>1761</v>
      </c>
      <c r="C131" t="s">
        <v>1762</v>
      </c>
      <c r="D131">
        <v>1018054228.46</v>
      </c>
      <c r="E131">
        <v>0</v>
      </c>
      <c r="F131">
        <v>0</v>
      </c>
      <c r="G131">
        <v>0</v>
      </c>
      <c r="H131" s="1">
        <v>1018054228.46</v>
      </c>
      <c r="I131">
        <v>1018054.22846</v>
      </c>
      <c r="J131" s="52" t="e">
        <f>INDEX('Plano de Contas'!#REF!,MATCH(tbDez16[[#This Row],[Conta]],'Plano de Contas'!#REF!,0))</f>
        <v>#REF!</v>
      </c>
      <c r="K131" s="52" t="e">
        <f>INDEX('Plano de Contas'!#REF!,MATCH(tbDez16[[#This Row],[Conta]],'Plano de Contas'!#REF!,0))</f>
        <v>#REF!</v>
      </c>
      <c r="L131" t="e">
        <f>INDEX('Plano de Contas'!#REF!,MATCH(tbDez16[[#This Row],[Conta]],'Plano de Contas'!#REF!,0))</f>
        <v>#REF!</v>
      </c>
    </row>
    <row r="132" spans="1:12" x14ac:dyDescent="0.25">
      <c r="A132" t="s">
        <v>1763</v>
      </c>
      <c r="B132" t="s">
        <v>1764</v>
      </c>
      <c r="C132" t="s">
        <v>1765</v>
      </c>
      <c r="D132">
        <v>0</v>
      </c>
      <c r="E132">
        <v>772893.36</v>
      </c>
      <c r="F132">
        <v>0</v>
      </c>
      <c r="G132">
        <v>772893.36</v>
      </c>
      <c r="H132" s="1">
        <v>772893.36</v>
      </c>
      <c r="I132">
        <v>772.89336000000003</v>
      </c>
      <c r="J132" s="52" t="e">
        <f>INDEX('Plano de Contas'!#REF!,MATCH(tbDez16[[#This Row],[Conta]],'Plano de Contas'!#REF!,0))</f>
        <v>#REF!</v>
      </c>
      <c r="K132" s="52" t="e">
        <f>INDEX('Plano de Contas'!#REF!,MATCH(tbDez16[[#This Row],[Conta]],'Plano de Contas'!#REF!,0))</f>
        <v>#REF!</v>
      </c>
      <c r="L132" t="e">
        <f>INDEX('Plano de Contas'!#REF!,MATCH(tbDez16[[#This Row],[Conta]],'Plano de Contas'!#REF!,0))</f>
        <v>#REF!</v>
      </c>
    </row>
    <row r="133" spans="1:12" x14ac:dyDescent="0.25">
      <c r="A133" t="s">
        <v>1766</v>
      </c>
      <c r="B133" t="s">
        <v>1767</v>
      </c>
      <c r="C133" t="s">
        <v>1768</v>
      </c>
      <c r="D133">
        <v>0</v>
      </c>
      <c r="E133">
        <v>5069945.33</v>
      </c>
      <c r="F133">
        <v>0</v>
      </c>
      <c r="G133">
        <v>5069945.33</v>
      </c>
      <c r="H133" s="1">
        <v>5069945.33</v>
      </c>
      <c r="I133">
        <v>5069.9453300000005</v>
      </c>
      <c r="J133" s="52" t="e">
        <f>INDEX('Plano de Contas'!#REF!,MATCH(tbDez16[[#This Row],[Conta]],'Plano de Contas'!#REF!,0))</f>
        <v>#REF!</v>
      </c>
      <c r="K133" s="52" t="e">
        <f>INDEX('Plano de Contas'!#REF!,MATCH(tbDez16[[#This Row],[Conta]],'Plano de Contas'!#REF!,0))</f>
        <v>#REF!</v>
      </c>
      <c r="L133" t="e">
        <f>INDEX('Plano de Contas'!#REF!,MATCH(tbDez16[[#This Row],[Conta]],'Plano de Contas'!#REF!,0))</f>
        <v>#REF!</v>
      </c>
    </row>
    <row r="134" spans="1:12" x14ac:dyDescent="0.25">
      <c r="A134" t="s">
        <v>1769</v>
      </c>
      <c r="B134" t="s">
        <v>1770</v>
      </c>
      <c r="C134" t="s">
        <v>1771</v>
      </c>
      <c r="D134">
        <v>0</v>
      </c>
      <c r="E134">
        <v>2231381.63</v>
      </c>
      <c r="F134">
        <v>0</v>
      </c>
      <c r="G134">
        <v>2231381.63</v>
      </c>
      <c r="H134" s="1">
        <v>2231381.63</v>
      </c>
      <c r="I134">
        <v>2231.3816299999999</v>
      </c>
      <c r="J134" s="52" t="e">
        <f>INDEX('Plano de Contas'!#REF!,MATCH(tbDez16[[#This Row],[Conta]],'Plano de Contas'!#REF!,0))</f>
        <v>#REF!</v>
      </c>
      <c r="K134" s="52" t="e">
        <f>INDEX('Plano de Contas'!#REF!,MATCH(tbDez16[[#This Row],[Conta]],'Plano de Contas'!#REF!,0))</f>
        <v>#REF!</v>
      </c>
      <c r="L134" t="e">
        <f>INDEX('Plano de Contas'!#REF!,MATCH(tbDez16[[#This Row],[Conta]],'Plano de Contas'!#REF!,0))</f>
        <v>#REF!</v>
      </c>
    </row>
    <row r="135" spans="1:12" x14ac:dyDescent="0.25">
      <c r="A135" t="s">
        <v>368</v>
      </c>
      <c r="B135" t="s">
        <v>1772</v>
      </c>
      <c r="C135" t="s">
        <v>1773</v>
      </c>
      <c r="D135">
        <v>61743117.82</v>
      </c>
      <c r="E135">
        <v>0</v>
      </c>
      <c r="F135">
        <v>0</v>
      </c>
      <c r="G135">
        <v>0</v>
      </c>
      <c r="H135" s="1">
        <v>61743117.82</v>
      </c>
      <c r="I135">
        <v>61743.117819999999</v>
      </c>
      <c r="J135" s="52" t="e">
        <f>INDEX('Plano de Contas'!#REF!,MATCH(tbDez16[[#This Row],[Conta]],'Plano de Contas'!#REF!,0))</f>
        <v>#REF!</v>
      </c>
      <c r="K135" s="52" t="e">
        <f>INDEX('Plano de Contas'!#REF!,MATCH(tbDez16[[#This Row],[Conta]],'Plano de Contas'!#REF!,0))</f>
        <v>#REF!</v>
      </c>
      <c r="L135" t="e">
        <f>INDEX('Plano de Contas'!#REF!,MATCH(tbDez16[[#This Row],[Conta]],'Plano de Contas'!#REF!,0))</f>
        <v>#REF!</v>
      </c>
    </row>
    <row r="136" spans="1:12" x14ac:dyDescent="0.25">
      <c r="A136" t="s">
        <v>372</v>
      </c>
      <c r="B136" t="s">
        <v>1774</v>
      </c>
      <c r="C136" t="s">
        <v>1775</v>
      </c>
      <c r="D136">
        <v>4664739.82</v>
      </c>
      <c r="E136">
        <v>0</v>
      </c>
      <c r="F136">
        <v>0</v>
      </c>
      <c r="G136">
        <v>0</v>
      </c>
      <c r="H136" s="1">
        <v>4664739.82</v>
      </c>
      <c r="I136">
        <v>4664.7398200000007</v>
      </c>
      <c r="J136" s="52" t="e">
        <f>INDEX('Plano de Contas'!#REF!,MATCH(tbDez16[[#This Row],[Conta]],'Plano de Contas'!#REF!,0))</f>
        <v>#REF!</v>
      </c>
      <c r="K136" s="52" t="e">
        <f>INDEX('Plano de Contas'!#REF!,MATCH(tbDez16[[#This Row],[Conta]],'Plano de Contas'!#REF!,0))</f>
        <v>#REF!</v>
      </c>
      <c r="L136" t="e">
        <f>INDEX('Plano de Contas'!#REF!,MATCH(tbDez16[[#This Row],[Conta]],'Plano de Contas'!#REF!,0))</f>
        <v>#REF!</v>
      </c>
    </row>
    <row r="137" spans="1:12" x14ac:dyDescent="0.25">
      <c r="A137" t="s">
        <v>374</v>
      </c>
      <c r="B137" t="s">
        <v>1776</v>
      </c>
      <c r="C137" t="s">
        <v>1777</v>
      </c>
      <c r="D137">
        <v>57078378</v>
      </c>
      <c r="E137">
        <v>0</v>
      </c>
      <c r="F137">
        <v>0</v>
      </c>
      <c r="G137">
        <v>0</v>
      </c>
      <c r="H137" s="1">
        <v>57078378</v>
      </c>
      <c r="I137">
        <v>57078.377999999997</v>
      </c>
      <c r="J137" s="52" t="e">
        <f>INDEX('Plano de Contas'!#REF!,MATCH(tbDez16[[#This Row],[Conta]],'Plano de Contas'!#REF!,0))</f>
        <v>#REF!</v>
      </c>
      <c r="K137" s="52" t="e">
        <f>INDEX('Plano de Contas'!#REF!,MATCH(tbDez16[[#This Row],[Conta]],'Plano de Contas'!#REF!,0))</f>
        <v>#REF!</v>
      </c>
      <c r="L137" t="e">
        <f>INDEX('Plano de Contas'!#REF!,MATCH(tbDez16[[#This Row],[Conta]],'Plano de Contas'!#REF!,0))</f>
        <v>#REF!</v>
      </c>
    </row>
    <row r="138" spans="1:12" x14ac:dyDescent="0.25">
      <c r="A138" t="s">
        <v>384</v>
      </c>
      <c r="B138" t="s">
        <v>1778</v>
      </c>
      <c r="C138" t="s">
        <v>1779</v>
      </c>
      <c r="D138">
        <v>1653026965.6199999</v>
      </c>
      <c r="E138">
        <v>4839131.45</v>
      </c>
      <c r="F138">
        <v>8800047.8200000003</v>
      </c>
      <c r="G138">
        <v>-3960916.37</v>
      </c>
      <c r="H138" s="1">
        <v>1649066049.25</v>
      </c>
      <c r="I138">
        <v>1649066.0492499999</v>
      </c>
      <c r="J138" s="52" t="e">
        <f>INDEX('Plano de Contas'!#REF!,MATCH(tbDez16[[#This Row],[Conta]],'Plano de Contas'!#REF!,0))</f>
        <v>#REF!</v>
      </c>
      <c r="K138" s="52" t="e">
        <f>INDEX('Plano de Contas'!#REF!,MATCH(tbDez16[[#This Row],[Conta]],'Plano de Contas'!#REF!,0))</f>
        <v>#REF!</v>
      </c>
      <c r="L138" t="e">
        <f>INDEX('Plano de Contas'!#REF!,MATCH(tbDez16[[#This Row],[Conta]],'Plano de Contas'!#REF!,0))</f>
        <v>#REF!</v>
      </c>
    </row>
    <row r="139" spans="1:12" x14ac:dyDescent="0.25">
      <c r="A139" t="s">
        <v>386</v>
      </c>
      <c r="B139" t="s">
        <v>1780</v>
      </c>
      <c r="C139" t="s">
        <v>1781</v>
      </c>
      <c r="D139">
        <v>1625300085.48</v>
      </c>
      <c r="E139">
        <v>4839131.45</v>
      </c>
      <c r="F139">
        <v>8800047.8200000003</v>
      </c>
      <c r="G139">
        <v>-3960916.37</v>
      </c>
      <c r="H139" s="1">
        <v>1621339169.1099999</v>
      </c>
      <c r="I139">
        <v>1621339.1691099999</v>
      </c>
      <c r="J139" s="52" t="e">
        <f>INDEX('Plano de Contas'!#REF!,MATCH(tbDez16[[#This Row],[Conta]],'Plano de Contas'!#REF!,0))</f>
        <v>#REF!</v>
      </c>
      <c r="K139" s="52" t="e">
        <f>INDEX('Plano de Contas'!#REF!,MATCH(tbDez16[[#This Row],[Conta]],'Plano de Contas'!#REF!,0))</f>
        <v>#REF!</v>
      </c>
      <c r="L139" t="e">
        <f>INDEX('Plano de Contas'!#REF!,MATCH(tbDez16[[#This Row],[Conta]],'Plano de Contas'!#REF!,0))</f>
        <v>#REF!</v>
      </c>
    </row>
    <row r="140" spans="1:12" x14ac:dyDescent="0.25">
      <c r="A140" t="s">
        <v>388</v>
      </c>
      <c r="B140" t="s">
        <v>1782</v>
      </c>
      <c r="C140" t="s">
        <v>1783</v>
      </c>
      <c r="D140">
        <v>9596917.9900000002</v>
      </c>
      <c r="E140">
        <v>0</v>
      </c>
      <c r="F140">
        <v>0</v>
      </c>
      <c r="G140">
        <v>0</v>
      </c>
      <c r="H140" s="1">
        <v>9596917.9900000002</v>
      </c>
      <c r="I140">
        <v>9596.9179899999999</v>
      </c>
      <c r="J140" s="52" t="e">
        <f>INDEX('Plano de Contas'!#REF!,MATCH(tbDez16[[#This Row],[Conta]],'Plano de Contas'!#REF!,0))</f>
        <v>#REF!</v>
      </c>
      <c r="K140" s="52" t="e">
        <f>INDEX('Plano de Contas'!#REF!,MATCH(tbDez16[[#This Row],[Conta]],'Plano de Contas'!#REF!,0))</f>
        <v>#REF!</v>
      </c>
      <c r="L140" t="e">
        <f>INDEX('Plano de Contas'!#REF!,MATCH(tbDez16[[#This Row],[Conta]],'Plano de Contas'!#REF!,0))</f>
        <v>#REF!</v>
      </c>
    </row>
    <row r="141" spans="1:12" x14ac:dyDescent="0.25">
      <c r="A141" t="s">
        <v>390</v>
      </c>
      <c r="B141" t="s">
        <v>1784</v>
      </c>
      <c r="C141" t="s">
        <v>1785</v>
      </c>
      <c r="D141">
        <v>145225.78</v>
      </c>
      <c r="E141">
        <v>0</v>
      </c>
      <c r="F141">
        <v>0</v>
      </c>
      <c r="G141">
        <v>0</v>
      </c>
      <c r="H141" s="1">
        <v>145225.78</v>
      </c>
      <c r="I141">
        <v>145.22577999999999</v>
      </c>
      <c r="J141" s="52" t="e">
        <f>INDEX('Plano de Contas'!#REF!,MATCH(tbDez16[[#This Row],[Conta]],'Plano de Contas'!#REF!,0))</f>
        <v>#REF!</v>
      </c>
      <c r="K141" s="52" t="e">
        <f>INDEX('Plano de Contas'!#REF!,MATCH(tbDez16[[#This Row],[Conta]],'Plano de Contas'!#REF!,0))</f>
        <v>#REF!</v>
      </c>
      <c r="L141" t="e">
        <f>INDEX('Plano de Contas'!#REF!,MATCH(tbDez16[[#This Row],[Conta]],'Plano de Contas'!#REF!,0))</f>
        <v>#REF!</v>
      </c>
    </row>
    <row r="142" spans="1:12" x14ac:dyDescent="0.25">
      <c r="A142" t="s">
        <v>392</v>
      </c>
      <c r="B142" t="s">
        <v>1786</v>
      </c>
      <c r="C142" t="s">
        <v>1787</v>
      </c>
      <c r="D142">
        <v>51514.54</v>
      </c>
      <c r="E142">
        <v>0</v>
      </c>
      <c r="F142">
        <v>0</v>
      </c>
      <c r="G142">
        <v>0</v>
      </c>
      <c r="H142" s="1">
        <v>51514.54</v>
      </c>
      <c r="I142">
        <v>51.514540000000004</v>
      </c>
      <c r="J142" s="52" t="e">
        <f>INDEX('Plano de Contas'!#REF!,MATCH(tbDez16[[#This Row],[Conta]],'Plano de Contas'!#REF!,0))</f>
        <v>#REF!</v>
      </c>
      <c r="K142" s="52" t="e">
        <f>INDEX('Plano de Contas'!#REF!,MATCH(tbDez16[[#This Row],[Conta]],'Plano de Contas'!#REF!,0))</f>
        <v>#REF!</v>
      </c>
      <c r="L142" t="e">
        <f>INDEX('Plano de Contas'!#REF!,MATCH(tbDez16[[#This Row],[Conta]],'Plano de Contas'!#REF!,0))</f>
        <v>#REF!</v>
      </c>
    </row>
    <row r="143" spans="1:12" x14ac:dyDescent="0.25">
      <c r="A143" t="s">
        <v>394</v>
      </c>
      <c r="B143" t="s">
        <v>1788</v>
      </c>
      <c r="C143" t="s">
        <v>1789</v>
      </c>
      <c r="D143">
        <v>521985.21</v>
      </c>
      <c r="E143">
        <v>0</v>
      </c>
      <c r="F143">
        <v>0</v>
      </c>
      <c r="G143">
        <v>0</v>
      </c>
      <c r="H143" s="1">
        <v>521985.21</v>
      </c>
      <c r="I143">
        <v>521.98521000000005</v>
      </c>
      <c r="J143" s="52" t="e">
        <f>INDEX('Plano de Contas'!#REF!,MATCH(tbDez16[[#This Row],[Conta]],'Plano de Contas'!#REF!,0))</f>
        <v>#REF!</v>
      </c>
      <c r="K143" s="52" t="e">
        <f>INDEX('Plano de Contas'!#REF!,MATCH(tbDez16[[#This Row],[Conta]],'Plano de Contas'!#REF!,0))</f>
        <v>#REF!</v>
      </c>
      <c r="L143" t="e">
        <f>INDEX('Plano de Contas'!#REF!,MATCH(tbDez16[[#This Row],[Conta]],'Plano de Contas'!#REF!,0))</f>
        <v>#REF!</v>
      </c>
    </row>
    <row r="144" spans="1:12" x14ac:dyDescent="0.25">
      <c r="A144" t="s">
        <v>396</v>
      </c>
      <c r="B144" t="s">
        <v>1790</v>
      </c>
      <c r="C144" t="s">
        <v>1791</v>
      </c>
      <c r="D144">
        <v>164400.75</v>
      </c>
      <c r="E144">
        <v>0</v>
      </c>
      <c r="F144">
        <v>0</v>
      </c>
      <c r="G144">
        <v>0</v>
      </c>
      <c r="H144" s="1">
        <v>164400.75</v>
      </c>
      <c r="I144">
        <v>164.40074999999999</v>
      </c>
      <c r="J144" s="52" t="e">
        <f>INDEX('Plano de Contas'!#REF!,MATCH(tbDez16[[#This Row],[Conta]],'Plano de Contas'!#REF!,0))</f>
        <v>#REF!</v>
      </c>
      <c r="K144" s="52" t="e">
        <f>INDEX('Plano de Contas'!#REF!,MATCH(tbDez16[[#This Row],[Conta]],'Plano de Contas'!#REF!,0))</f>
        <v>#REF!</v>
      </c>
      <c r="L144" t="e">
        <f>INDEX('Plano de Contas'!#REF!,MATCH(tbDez16[[#This Row],[Conta]],'Plano de Contas'!#REF!,0))</f>
        <v>#REF!</v>
      </c>
    </row>
    <row r="145" spans="1:12" x14ac:dyDescent="0.25">
      <c r="A145" t="s">
        <v>398</v>
      </c>
      <c r="B145" t="s">
        <v>1792</v>
      </c>
      <c r="C145" t="s">
        <v>1793</v>
      </c>
      <c r="D145">
        <v>56456.91</v>
      </c>
      <c r="E145">
        <v>0</v>
      </c>
      <c r="F145">
        <v>0</v>
      </c>
      <c r="G145">
        <v>0</v>
      </c>
      <c r="H145" s="1">
        <v>56456.91</v>
      </c>
      <c r="I145">
        <v>56.456910000000001</v>
      </c>
      <c r="J145" s="52" t="e">
        <f>INDEX('Plano de Contas'!#REF!,MATCH(tbDez16[[#This Row],[Conta]],'Plano de Contas'!#REF!,0))</f>
        <v>#REF!</v>
      </c>
      <c r="K145" s="52" t="e">
        <f>INDEX('Plano de Contas'!#REF!,MATCH(tbDez16[[#This Row],[Conta]],'Plano de Contas'!#REF!,0))</f>
        <v>#REF!</v>
      </c>
      <c r="L145" t="e">
        <f>INDEX('Plano de Contas'!#REF!,MATCH(tbDez16[[#This Row],[Conta]],'Plano de Contas'!#REF!,0))</f>
        <v>#REF!</v>
      </c>
    </row>
    <row r="146" spans="1:12" x14ac:dyDescent="0.25">
      <c r="A146" t="s">
        <v>400</v>
      </c>
      <c r="B146" t="s">
        <v>1794</v>
      </c>
      <c r="C146" t="s">
        <v>1795</v>
      </c>
      <c r="D146">
        <v>120463.24</v>
      </c>
      <c r="E146">
        <v>0</v>
      </c>
      <c r="F146">
        <v>0</v>
      </c>
      <c r="G146">
        <v>0</v>
      </c>
      <c r="H146" s="1">
        <v>120463.24</v>
      </c>
      <c r="I146">
        <v>120.46324</v>
      </c>
      <c r="J146" s="52" t="e">
        <f>INDEX('Plano de Contas'!#REF!,MATCH(tbDez16[[#This Row],[Conta]],'Plano de Contas'!#REF!,0))</f>
        <v>#REF!</v>
      </c>
      <c r="K146" s="52" t="e">
        <f>INDEX('Plano de Contas'!#REF!,MATCH(tbDez16[[#This Row],[Conta]],'Plano de Contas'!#REF!,0))</f>
        <v>#REF!</v>
      </c>
      <c r="L146" t="e">
        <f>INDEX('Plano de Contas'!#REF!,MATCH(tbDez16[[#This Row],[Conta]],'Plano de Contas'!#REF!,0))</f>
        <v>#REF!</v>
      </c>
    </row>
    <row r="147" spans="1:12" x14ac:dyDescent="0.25">
      <c r="A147" t="s">
        <v>402</v>
      </c>
      <c r="B147" t="s">
        <v>1796</v>
      </c>
      <c r="C147" t="s">
        <v>1797</v>
      </c>
      <c r="D147">
        <v>71976.259999999995</v>
      </c>
      <c r="E147">
        <v>0</v>
      </c>
      <c r="F147">
        <v>0</v>
      </c>
      <c r="G147">
        <v>0</v>
      </c>
      <c r="H147" s="1">
        <v>71976.259999999995</v>
      </c>
      <c r="I147">
        <v>71.976259999999996</v>
      </c>
      <c r="J147" s="52" t="e">
        <f>INDEX('Plano de Contas'!#REF!,MATCH(tbDez16[[#This Row],[Conta]],'Plano de Contas'!#REF!,0))</f>
        <v>#REF!</v>
      </c>
      <c r="K147" s="52" t="e">
        <f>INDEX('Plano de Contas'!#REF!,MATCH(tbDez16[[#This Row],[Conta]],'Plano de Contas'!#REF!,0))</f>
        <v>#REF!</v>
      </c>
      <c r="L147" t="e">
        <f>INDEX('Plano de Contas'!#REF!,MATCH(tbDez16[[#This Row],[Conta]],'Plano de Contas'!#REF!,0))</f>
        <v>#REF!</v>
      </c>
    </row>
    <row r="148" spans="1:12" x14ac:dyDescent="0.25">
      <c r="A148" t="s">
        <v>404</v>
      </c>
      <c r="B148" t="s">
        <v>1798</v>
      </c>
      <c r="C148" t="s">
        <v>1799</v>
      </c>
      <c r="D148">
        <v>5400</v>
      </c>
      <c r="E148">
        <v>0</v>
      </c>
      <c r="F148">
        <v>0</v>
      </c>
      <c r="G148">
        <v>0</v>
      </c>
      <c r="H148" s="1">
        <v>5400</v>
      </c>
      <c r="I148">
        <v>5.4</v>
      </c>
      <c r="J148" s="52" t="e">
        <f>INDEX('Plano de Contas'!#REF!,MATCH(tbDez16[[#This Row],[Conta]],'Plano de Contas'!#REF!,0))</f>
        <v>#REF!</v>
      </c>
      <c r="K148" s="52" t="e">
        <f>INDEX('Plano de Contas'!#REF!,MATCH(tbDez16[[#This Row],[Conta]],'Plano de Contas'!#REF!,0))</f>
        <v>#REF!</v>
      </c>
      <c r="L148" t="e">
        <f>INDEX('Plano de Contas'!#REF!,MATCH(tbDez16[[#This Row],[Conta]],'Plano de Contas'!#REF!,0))</f>
        <v>#REF!</v>
      </c>
    </row>
    <row r="149" spans="1:12" x14ac:dyDescent="0.25">
      <c r="A149" t="s">
        <v>406</v>
      </c>
      <c r="B149" t="s">
        <v>1800</v>
      </c>
      <c r="C149" t="s">
        <v>1801</v>
      </c>
      <c r="D149">
        <v>121272.5</v>
      </c>
      <c r="E149">
        <v>0</v>
      </c>
      <c r="F149">
        <v>0</v>
      </c>
      <c r="G149">
        <v>0</v>
      </c>
      <c r="H149" s="1">
        <v>121272.5</v>
      </c>
      <c r="I149">
        <v>121.27249999999999</v>
      </c>
      <c r="J149" s="52" t="e">
        <f>INDEX('Plano de Contas'!#REF!,MATCH(tbDez16[[#This Row],[Conta]],'Plano de Contas'!#REF!,0))</f>
        <v>#REF!</v>
      </c>
      <c r="K149" s="52" t="e">
        <f>INDEX('Plano de Contas'!#REF!,MATCH(tbDez16[[#This Row],[Conta]],'Plano de Contas'!#REF!,0))</f>
        <v>#REF!</v>
      </c>
      <c r="L149" t="e">
        <f>INDEX('Plano de Contas'!#REF!,MATCH(tbDez16[[#This Row],[Conta]],'Plano de Contas'!#REF!,0))</f>
        <v>#REF!</v>
      </c>
    </row>
    <row r="150" spans="1:12" x14ac:dyDescent="0.25">
      <c r="A150" t="s">
        <v>408</v>
      </c>
      <c r="B150" t="s">
        <v>1802</v>
      </c>
      <c r="C150" t="s">
        <v>1803</v>
      </c>
      <c r="D150">
        <v>39172.18</v>
      </c>
      <c r="E150">
        <v>0</v>
      </c>
      <c r="F150">
        <v>0</v>
      </c>
      <c r="G150">
        <v>0</v>
      </c>
      <c r="H150" s="1">
        <v>39172.18</v>
      </c>
      <c r="I150">
        <v>39.172179999999997</v>
      </c>
      <c r="J150" s="52" t="e">
        <f>INDEX('Plano de Contas'!#REF!,MATCH(tbDez16[[#This Row],[Conta]],'Plano de Contas'!#REF!,0))</f>
        <v>#REF!</v>
      </c>
      <c r="K150" s="52" t="e">
        <f>INDEX('Plano de Contas'!#REF!,MATCH(tbDez16[[#This Row],[Conta]],'Plano de Contas'!#REF!,0))</f>
        <v>#REF!</v>
      </c>
      <c r="L150" t="e">
        <f>INDEX('Plano de Contas'!#REF!,MATCH(tbDez16[[#This Row],[Conta]],'Plano de Contas'!#REF!,0))</f>
        <v>#REF!</v>
      </c>
    </row>
    <row r="151" spans="1:12" x14ac:dyDescent="0.25">
      <c r="A151" t="s">
        <v>410</v>
      </c>
      <c r="B151" t="s">
        <v>1804</v>
      </c>
      <c r="C151" t="s">
        <v>1805</v>
      </c>
      <c r="D151">
        <v>2623476.1800000002</v>
      </c>
      <c r="E151">
        <v>0</v>
      </c>
      <c r="F151">
        <v>0</v>
      </c>
      <c r="G151">
        <v>0</v>
      </c>
      <c r="H151" s="1">
        <v>2623476.1800000002</v>
      </c>
      <c r="I151">
        <v>2623.4761800000001</v>
      </c>
      <c r="J151" s="52" t="e">
        <f>INDEX('Plano de Contas'!#REF!,MATCH(tbDez16[[#This Row],[Conta]],'Plano de Contas'!#REF!,0))</f>
        <v>#REF!</v>
      </c>
      <c r="K151" s="52" t="e">
        <f>INDEX('Plano de Contas'!#REF!,MATCH(tbDez16[[#This Row],[Conta]],'Plano de Contas'!#REF!,0))</f>
        <v>#REF!</v>
      </c>
      <c r="L151" t="e">
        <f>INDEX('Plano de Contas'!#REF!,MATCH(tbDez16[[#This Row],[Conta]],'Plano de Contas'!#REF!,0))</f>
        <v>#REF!</v>
      </c>
    </row>
    <row r="152" spans="1:12" x14ac:dyDescent="0.25">
      <c r="A152" t="s">
        <v>412</v>
      </c>
      <c r="B152" t="s">
        <v>1806</v>
      </c>
      <c r="C152" t="s">
        <v>1807</v>
      </c>
      <c r="D152">
        <v>14208618.6</v>
      </c>
      <c r="E152">
        <v>0</v>
      </c>
      <c r="F152">
        <v>0</v>
      </c>
      <c r="G152">
        <v>0</v>
      </c>
      <c r="H152" s="1">
        <v>14208618.6</v>
      </c>
      <c r="I152">
        <v>14208.6186</v>
      </c>
      <c r="J152" s="52" t="e">
        <f>INDEX('Plano de Contas'!#REF!,MATCH(tbDez16[[#This Row],[Conta]],'Plano de Contas'!#REF!,0))</f>
        <v>#REF!</v>
      </c>
      <c r="K152" s="52" t="e">
        <f>INDEX('Plano de Contas'!#REF!,MATCH(tbDez16[[#This Row],[Conta]],'Plano de Contas'!#REF!,0))</f>
        <v>#REF!</v>
      </c>
      <c r="L152" t="e">
        <f>INDEX('Plano de Contas'!#REF!,MATCH(tbDez16[[#This Row],[Conta]],'Plano de Contas'!#REF!,0))</f>
        <v>#REF!</v>
      </c>
    </row>
    <row r="153" spans="1:12" x14ac:dyDescent="0.25">
      <c r="A153" t="s">
        <v>414</v>
      </c>
      <c r="B153" t="s">
        <v>1808</v>
      </c>
      <c r="C153" t="s">
        <v>1809</v>
      </c>
      <c r="D153">
        <v>-132432183.39</v>
      </c>
      <c r="E153">
        <v>16967.16</v>
      </c>
      <c r="F153">
        <v>1739570.03</v>
      </c>
      <c r="G153">
        <v>-1722602.87</v>
      </c>
      <c r="H153" s="1">
        <v>-134154786.26000001</v>
      </c>
      <c r="I153">
        <v>-134154.78625999999</v>
      </c>
      <c r="J153" s="52" t="e">
        <f>INDEX('Plano de Contas'!#REF!,MATCH(tbDez16[[#This Row],[Conta]],'Plano de Contas'!#REF!,0))</f>
        <v>#REF!</v>
      </c>
      <c r="K153" s="52" t="e">
        <f>INDEX('Plano de Contas'!#REF!,MATCH(tbDez16[[#This Row],[Conta]],'Plano de Contas'!#REF!,0))</f>
        <v>#REF!</v>
      </c>
      <c r="L153" t="e">
        <f>INDEX('Plano de Contas'!#REF!,MATCH(tbDez16[[#This Row],[Conta]],'Plano de Contas'!#REF!,0))</f>
        <v>#REF!</v>
      </c>
    </row>
    <row r="154" spans="1:12" x14ac:dyDescent="0.25">
      <c r="A154" t="s">
        <v>416</v>
      </c>
      <c r="B154" t="s">
        <v>1810</v>
      </c>
      <c r="C154" t="s">
        <v>1811</v>
      </c>
      <c r="D154">
        <v>-4642727.1399999997</v>
      </c>
      <c r="E154">
        <v>0</v>
      </c>
      <c r="F154">
        <v>0.54</v>
      </c>
      <c r="G154">
        <v>-0.54</v>
      </c>
      <c r="H154" s="1">
        <v>-4642727.68</v>
      </c>
      <c r="I154">
        <v>-4642.72768</v>
      </c>
      <c r="J154" s="52" t="e">
        <f>INDEX('Plano de Contas'!#REF!,MATCH(tbDez16[[#This Row],[Conta]],'Plano de Contas'!#REF!,0))</f>
        <v>#REF!</v>
      </c>
      <c r="K154" s="52" t="e">
        <f>INDEX('Plano de Contas'!#REF!,MATCH(tbDez16[[#This Row],[Conta]],'Plano de Contas'!#REF!,0))</f>
        <v>#REF!</v>
      </c>
      <c r="L154" t="e">
        <f>INDEX('Plano de Contas'!#REF!,MATCH(tbDez16[[#This Row],[Conta]],'Plano de Contas'!#REF!,0))</f>
        <v>#REF!</v>
      </c>
    </row>
    <row r="155" spans="1:12" x14ac:dyDescent="0.25">
      <c r="A155" t="s">
        <v>418</v>
      </c>
      <c r="B155" t="s">
        <v>1812</v>
      </c>
      <c r="C155" t="s">
        <v>1813</v>
      </c>
      <c r="D155">
        <v>-123852331.59999999</v>
      </c>
      <c r="E155">
        <v>0</v>
      </c>
      <c r="F155">
        <v>1642351.36</v>
      </c>
      <c r="G155">
        <v>-1642351.36</v>
      </c>
      <c r="H155" s="1">
        <v>-125494682.95999999</v>
      </c>
      <c r="I155">
        <v>-125494.68295999999</v>
      </c>
      <c r="J155" s="52" t="e">
        <f>INDEX('Plano de Contas'!#REF!,MATCH(tbDez16[[#This Row],[Conta]],'Plano de Contas'!#REF!,0))</f>
        <v>#REF!</v>
      </c>
      <c r="K155" s="52" t="e">
        <f>INDEX('Plano de Contas'!#REF!,MATCH(tbDez16[[#This Row],[Conta]],'Plano de Contas'!#REF!,0))</f>
        <v>#REF!</v>
      </c>
      <c r="L155" t="e">
        <f>INDEX('Plano de Contas'!#REF!,MATCH(tbDez16[[#This Row],[Conta]],'Plano de Contas'!#REF!,0))</f>
        <v>#REF!</v>
      </c>
    </row>
    <row r="156" spans="1:12" x14ac:dyDescent="0.25">
      <c r="A156" t="s">
        <v>420</v>
      </c>
      <c r="B156" t="s">
        <v>1814</v>
      </c>
      <c r="C156" t="s">
        <v>1815</v>
      </c>
      <c r="D156">
        <v>-529526.5</v>
      </c>
      <c r="E156">
        <v>0</v>
      </c>
      <c r="F156">
        <v>13357.25</v>
      </c>
      <c r="G156">
        <v>-13357.25</v>
      </c>
      <c r="H156" s="1">
        <v>-542883.75</v>
      </c>
      <c r="I156">
        <v>-542.88374999999996</v>
      </c>
      <c r="J156" s="52" t="e">
        <f>INDEX('Plano de Contas'!#REF!,MATCH(tbDez16[[#This Row],[Conta]],'Plano de Contas'!#REF!,0))</f>
        <v>#REF!</v>
      </c>
      <c r="K156" s="52" t="e">
        <f>INDEX('Plano de Contas'!#REF!,MATCH(tbDez16[[#This Row],[Conta]],'Plano de Contas'!#REF!,0))</f>
        <v>#REF!</v>
      </c>
      <c r="L156" t="e">
        <f>INDEX('Plano de Contas'!#REF!,MATCH(tbDez16[[#This Row],[Conta]],'Plano de Contas'!#REF!,0))</f>
        <v>#REF!</v>
      </c>
    </row>
    <row r="157" spans="1:12" x14ac:dyDescent="0.25">
      <c r="A157" t="s">
        <v>422</v>
      </c>
      <c r="B157" t="s">
        <v>1816</v>
      </c>
      <c r="C157" t="s">
        <v>1817</v>
      </c>
      <c r="D157">
        <v>-295686.71000000002</v>
      </c>
      <c r="E157">
        <v>16967.16</v>
      </c>
      <c r="F157">
        <v>16967.16</v>
      </c>
      <c r="G157">
        <v>0</v>
      </c>
      <c r="H157" s="1">
        <v>-295686.71000000002</v>
      </c>
      <c r="I157">
        <v>-295.68671000000001</v>
      </c>
      <c r="J157" s="52" t="e">
        <f>INDEX('Plano de Contas'!#REF!,MATCH(tbDez16[[#This Row],[Conta]],'Plano de Contas'!#REF!,0))</f>
        <v>#REF!</v>
      </c>
      <c r="K157" s="52" t="e">
        <f>INDEX('Plano de Contas'!#REF!,MATCH(tbDez16[[#This Row],[Conta]],'Plano de Contas'!#REF!,0))</f>
        <v>#REF!</v>
      </c>
      <c r="L157" t="e">
        <f>INDEX('Plano de Contas'!#REF!,MATCH(tbDez16[[#This Row],[Conta]],'Plano de Contas'!#REF!,0))</f>
        <v>#REF!</v>
      </c>
    </row>
    <row r="158" spans="1:12" x14ac:dyDescent="0.25">
      <c r="A158" t="s">
        <v>424</v>
      </c>
      <c r="B158" t="s">
        <v>1818</v>
      </c>
      <c r="C158" t="s">
        <v>1819</v>
      </c>
      <c r="D158">
        <v>-2413675.38</v>
      </c>
      <c r="E158">
        <v>0</v>
      </c>
      <c r="F158">
        <v>28156.48</v>
      </c>
      <c r="G158">
        <v>-28156.48</v>
      </c>
      <c r="H158" s="1">
        <v>-2441831.86</v>
      </c>
      <c r="I158">
        <v>-2441.8318599999998</v>
      </c>
      <c r="J158" s="52" t="e">
        <f>INDEX('Plano de Contas'!#REF!,MATCH(tbDez16[[#This Row],[Conta]],'Plano de Contas'!#REF!,0))</f>
        <v>#REF!</v>
      </c>
      <c r="K158" s="52" t="e">
        <f>INDEX('Plano de Contas'!#REF!,MATCH(tbDez16[[#This Row],[Conta]],'Plano de Contas'!#REF!,0))</f>
        <v>#REF!</v>
      </c>
      <c r="L158" t="e">
        <f>INDEX('Plano de Contas'!#REF!,MATCH(tbDez16[[#This Row],[Conta]],'Plano de Contas'!#REF!,0))</f>
        <v>#REF!</v>
      </c>
    </row>
    <row r="159" spans="1:12" x14ac:dyDescent="0.25">
      <c r="A159" t="s">
        <v>426</v>
      </c>
      <c r="B159" t="s">
        <v>1820</v>
      </c>
      <c r="C159" t="s">
        <v>1821</v>
      </c>
      <c r="D159">
        <v>-474053.13</v>
      </c>
      <c r="E159">
        <v>0</v>
      </c>
      <c r="F159">
        <v>17360.27</v>
      </c>
      <c r="G159">
        <v>-17360.27</v>
      </c>
      <c r="H159" s="1">
        <v>-491413.4</v>
      </c>
      <c r="I159">
        <v>-491.41340000000002</v>
      </c>
      <c r="J159" s="52" t="e">
        <f>INDEX('Plano de Contas'!#REF!,MATCH(tbDez16[[#This Row],[Conta]],'Plano de Contas'!#REF!,0))</f>
        <v>#REF!</v>
      </c>
      <c r="K159" s="52" t="e">
        <f>INDEX('Plano de Contas'!#REF!,MATCH(tbDez16[[#This Row],[Conta]],'Plano de Contas'!#REF!,0))</f>
        <v>#REF!</v>
      </c>
      <c r="L159" t="e">
        <f>INDEX('Plano de Contas'!#REF!,MATCH(tbDez16[[#This Row],[Conta]],'Plano de Contas'!#REF!,0))</f>
        <v>#REF!</v>
      </c>
    </row>
    <row r="160" spans="1:12" x14ac:dyDescent="0.25">
      <c r="A160" t="s">
        <v>428</v>
      </c>
      <c r="B160" t="s">
        <v>1822</v>
      </c>
      <c r="C160" t="s">
        <v>1823</v>
      </c>
      <c r="D160">
        <v>-224182.93</v>
      </c>
      <c r="E160">
        <v>0</v>
      </c>
      <c r="F160">
        <v>21376.97</v>
      </c>
      <c r="G160">
        <v>-21376.97</v>
      </c>
      <c r="H160" s="1">
        <v>-245559.9</v>
      </c>
      <c r="I160">
        <v>-245.5599</v>
      </c>
      <c r="J160" s="52" t="e">
        <f>INDEX('Plano de Contas'!#REF!,MATCH(tbDez16[[#This Row],[Conta]],'Plano de Contas'!#REF!,0))</f>
        <v>#REF!</v>
      </c>
      <c r="K160" s="52" t="e">
        <f>INDEX('Plano de Contas'!#REF!,MATCH(tbDez16[[#This Row],[Conta]],'Plano de Contas'!#REF!,0))</f>
        <v>#REF!</v>
      </c>
      <c r="L160" t="e">
        <f>INDEX('Plano de Contas'!#REF!,MATCH(tbDez16[[#This Row],[Conta]],'Plano de Contas'!#REF!,0))</f>
        <v>#REF!</v>
      </c>
    </row>
    <row r="161" spans="1:12" x14ac:dyDescent="0.25">
      <c r="A161" t="s">
        <v>434</v>
      </c>
      <c r="B161" t="s">
        <v>1824</v>
      </c>
      <c r="C161" t="s">
        <v>1809</v>
      </c>
      <c r="D161">
        <v>-28176936.93</v>
      </c>
      <c r="E161">
        <v>0</v>
      </c>
      <c r="F161">
        <v>56630.76</v>
      </c>
      <c r="G161">
        <v>-56630.76</v>
      </c>
      <c r="H161" s="1">
        <v>-28233567.690000001</v>
      </c>
      <c r="I161">
        <v>-28233.56769</v>
      </c>
      <c r="J161" s="52" t="e">
        <f>INDEX('Plano de Contas'!#REF!,MATCH(tbDez16[[#This Row],[Conta]],'Plano de Contas'!#REF!,0))</f>
        <v>#REF!</v>
      </c>
      <c r="K161" s="52" t="e">
        <f>INDEX('Plano de Contas'!#REF!,MATCH(tbDez16[[#This Row],[Conta]],'Plano de Contas'!#REF!,0))</f>
        <v>#REF!</v>
      </c>
      <c r="L161" t="e">
        <f>INDEX('Plano de Contas'!#REF!,MATCH(tbDez16[[#This Row],[Conta]],'Plano de Contas'!#REF!,0))</f>
        <v>#REF!</v>
      </c>
    </row>
    <row r="162" spans="1:12" x14ac:dyDescent="0.25">
      <c r="A162" t="s">
        <v>435</v>
      </c>
      <c r="B162" t="s">
        <v>1825</v>
      </c>
      <c r="C162" t="s">
        <v>1826</v>
      </c>
      <c r="D162">
        <v>-4664701.4000000004</v>
      </c>
      <c r="E162">
        <v>0</v>
      </c>
      <c r="F162">
        <v>0.43</v>
      </c>
      <c r="G162">
        <v>-0.43</v>
      </c>
      <c r="H162" s="1">
        <v>-4664701.83</v>
      </c>
      <c r="I162">
        <v>-4664.70183</v>
      </c>
      <c r="J162" s="52" t="e">
        <f>INDEX('Plano de Contas'!#REF!,MATCH(tbDez16[[#This Row],[Conta]],'Plano de Contas'!#REF!,0))</f>
        <v>#REF!</v>
      </c>
      <c r="K162" s="52" t="e">
        <f>INDEX('Plano de Contas'!#REF!,MATCH(tbDez16[[#This Row],[Conta]],'Plano de Contas'!#REF!,0))</f>
        <v>#REF!</v>
      </c>
      <c r="L162" t="e">
        <f>INDEX('Plano de Contas'!#REF!,MATCH(tbDez16[[#This Row],[Conta]],'Plano de Contas'!#REF!,0))</f>
        <v>#REF!</v>
      </c>
    </row>
    <row r="163" spans="1:12" x14ac:dyDescent="0.25">
      <c r="A163" t="s">
        <v>437</v>
      </c>
      <c r="B163" t="s">
        <v>1827</v>
      </c>
      <c r="C163" t="s">
        <v>1828</v>
      </c>
      <c r="D163">
        <v>-23512235.530000001</v>
      </c>
      <c r="E163">
        <v>0</v>
      </c>
      <c r="F163">
        <v>56630.33</v>
      </c>
      <c r="G163">
        <v>-56630.33</v>
      </c>
      <c r="H163" s="1">
        <v>-23568865.859999999</v>
      </c>
      <c r="I163">
        <v>-23568.865859999998</v>
      </c>
      <c r="J163" s="52" t="e">
        <f>INDEX('Plano de Contas'!#REF!,MATCH(tbDez16[[#This Row],[Conta]],'Plano de Contas'!#REF!,0))</f>
        <v>#REF!</v>
      </c>
      <c r="K163" s="52" t="e">
        <f>INDEX('Plano de Contas'!#REF!,MATCH(tbDez16[[#This Row],[Conta]],'Plano de Contas'!#REF!,0))</f>
        <v>#REF!</v>
      </c>
      <c r="L163" t="e">
        <f>INDEX('Plano de Contas'!#REF!,MATCH(tbDez16[[#This Row],[Conta]],'Plano de Contas'!#REF!,0))</f>
        <v>#REF!</v>
      </c>
    </row>
    <row r="164" spans="1:12" x14ac:dyDescent="0.25">
      <c r="A164" t="s">
        <v>1022</v>
      </c>
      <c r="B164" t="s">
        <v>1829</v>
      </c>
      <c r="C164" t="s">
        <v>1830</v>
      </c>
      <c r="D164">
        <v>2172811479.2399998</v>
      </c>
      <c r="E164">
        <v>0</v>
      </c>
      <c r="F164">
        <v>0</v>
      </c>
      <c r="G164">
        <v>0</v>
      </c>
      <c r="H164" s="1">
        <v>2172811479.2399998</v>
      </c>
      <c r="I164">
        <v>2172811.4792399998</v>
      </c>
      <c r="J164" s="52" t="e">
        <f>INDEX('Plano de Contas'!#REF!,MATCH(tbDez16[[#This Row],[Conta]],'Plano de Contas'!#REF!,0))</f>
        <v>#REF!</v>
      </c>
      <c r="K164" s="52" t="e">
        <f>INDEX('Plano de Contas'!#REF!,MATCH(tbDez16[[#This Row],[Conta]],'Plano de Contas'!#REF!,0))</f>
        <v>#REF!</v>
      </c>
      <c r="L164" t="e">
        <f>INDEX('Plano de Contas'!#REF!,MATCH(tbDez16[[#This Row],[Conta]],'Plano de Contas'!#REF!,0))</f>
        <v>#REF!</v>
      </c>
    </row>
    <row r="165" spans="1:12" x14ac:dyDescent="0.25">
      <c r="A165" t="s">
        <v>1024</v>
      </c>
      <c r="B165" t="s">
        <v>1831</v>
      </c>
      <c r="C165" t="s">
        <v>1832</v>
      </c>
      <c r="D165">
        <v>1621072052.5899999</v>
      </c>
      <c r="E165">
        <v>0</v>
      </c>
      <c r="F165">
        <v>0</v>
      </c>
      <c r="G165">
        <v>0</v>
      </c>
      <c r="H165" s="1">
        <v>1621072052.5899999</v>
      </c>
      <c r="I165">
        <v>1621072.05259</v>
      </c>
      <c r="J165" s="52" t="e">
        <f>INDEX('Plano de Contas'!#REF!,MATCH(tbDez16[[#This Row],[Conta]],'Plano de Contas'!#REF!,0))</f>
        <v>#REF!</v>
      </c>
      <c r="K165" s="52" t="e">
        <f>INDEX('Plano de Contas'!#REF!,MATCH(tbDez16[[#This Row],[Conta]],'Plano de Contas'!#REF!,0))</f>
        <v>#REF!</v>
      </c>
      <c r="L165" t="e">
        <f>INDEX('Plano de Contas'!#REF!,MATCH(tbDez16[[#This Row],[Conta]],'Plano de Contas'!#REF!,0))</f>
        <v>#REF!</v>
      </c>
    </row>
    <row r="166" spans="1:12" x14ac:dyDescent="0.25">
      <c r="A166" t="s">
        <v>1026</v>
      </c>
      <c r="B166" t="s">
        <v>1833</v>
      </c>
      <c r="C166" t="s">
        <v>1834</v>
      </c>
      <c r="D166">
        <v>10855371.869999999</v>
      </c>
      <c r="E166">
        <v>0</v>
      </c>
      <c r="F166">
        <v>0</v>
      </c>
      <c r="G166">
        <v>0</v>
      </c>
      <c r="H166" s="1">
        <v>10855371.869999999</v>
      </c>
      <c r="I166">
        <v>10855.371869999999</v>
      </c>
      <c r="J166" s="52" t="e">
        <f>INDEX('Plano de Contas'!#REF!,MATCH(tbDez16[[#This Row],[Conta]],'Plano de Contas'!#REF!,0))</f>
        <v>#REF!</v>
      </c>
      <c r="K166" s="52" t="e">
        <f>INDEX('Plano de Contas'!#REF!,MATCH(tbDez16[[#This Row],[Conta]],'Plano de Contas'!#REF!,0))</f>
        <v>#REF!</v>
      </c>
      <c r="L166" t="e">
        <f>INDEX('Plano de Contas'!#REF!,MATCH(tbDez16[[#This Row],[Conta]],'Plano de Contas'!#REF!,0))</f>
        <v>#REF!</v>
      </c>
    </row>
    <row r="167" spans="1:12" x14ac:dyDescent="0.25">
      <c r="A167" t="s">
        <v>1028</v>
      </c>
      <c r="B167" t="s">
        <v>1835</v>
      </c>
      <c r="C167" t="s">
        <v>1836</v>
      </c>
      <c r="D167">
        <v>7607.57</v>
      </c>
      <c r="E167">
        <v>0</v>
      </c>
      <c r="F167">
        <v>0</v>
      </c>
      <c r="G167">
        <v>0</v>
      </c>
      <c r="H167" s="1">
        <v>7607.57</v>
      </c>
      <c r="I167">
        <v>7.6075699999999999</v>
      </c>
      <c r="J167" s="52" t="e">
        <f>INDEX('Plano de Contas'!#REF!,MATCH(tbDez16[[#This Row],[Conta]],'Plano de Contas'!#REF!,0))</f>
        <v>#REF!</v>
      </c>
      <c r="K167" s="52" t="e">
        <f>INDEX('Plano de Contas'!#REF!,MATCH(tbDez16[[#This Row],[Conta]],'Plano de Contas'!#REF!,0))</f>
        <v>#REF!</v>
      </c>
      <c r="L167" t="e">
        <f>INDEX('Plano de Contas'!#REF!,MATCH(tbDez16[[#This Row],[Conta]],'Plano de Contas'!#REF!,0))</f>
        <v>#REF!</v>
      </c>
    </row>
    <row r="168" spans="1:12" x14ac:dyDescent="0.25">
      <c r="A168" t="s">
        <v>1030</v>
      </c>
      <c r="B168" t="s">
        <v>1837</v>
      </c>
      <c r="C168" t="s">
        <v>1838</v>
      </c>
      <c r="D168">
        <v>2314875.4900000002</v>
      </c>
      <c r="E168">
        <v>0</v>
      </c>
      <c r="F168">
        <v>0</v>
      </c>
      <c r="G168">
        <v>0</v>
      </c>
      <c r="H168" s="1">
        <v>2314875.4900000002</v>
      </c>
      <c r="I168">
        <v>2314.8754900000004</v>
      </c>
      <c r="J168" s="52" t="e">
        <f>INDEX('Plano de Contas'!#REF!,MATCH(tbDez16[[#This Row],[Conta]],'Plano de Contas'!#REF!,0))</f>
        <v>#REF!</v>
      </c>
      <c r="K168" s="52" t="e">
        <f>INDEX('Plano de Contas'!#REF!,MATCH(tbDez16[[#This Row],[Conta]],'Plano de Contas'!#REF!,0))</f>
        <v>#REF!</v>
      </c>
      <c r="L168" t="e">
        <f>INDEX('Plano de Contas'!#REF!,MATCH(tbDez16[[#This Row],[Conta]],'Plano de Contas'!#REF!,0))</f>
        <v>#REF!</v>
      </c>
    </row>
    <row r="169" spans="1:12" x14ac:dyDescent="0.25">
      <c r="A169" t="s">
        <v>1032</v>
      </c>
      <c r="B169" t="s">
        <v>1839</v>
      </c>
      <c r="C169" t="s">
        <v>1840</v>
      </c>
      <c r="D169">
        <v>259643.58</v>
      </c>
      <c r="E169">
        <v>0</v>
      </c>
      <c r="F169">
        <v>0</v>
      </c>
      <c r="G169">
        <v>0</v>
      </c>
      <c r="H169" s="1">
        <v>259643.58</v>
      </c>
      <c r="I169">
        <v>259.64357999999999</v>
      </c>
      <c r="J169" s="52" t="e">
        <f>INDEX('Plano de Contas'!#REF!,MATCH(tbDez16[[#This Row],[Conta]],'Plano de Contas'!#REF!,0))</f>
        <v>#REF!</v>
      </c>
      <c r="K169" s="52" t="e">
        <f>INDEX('Plano de Contas'!#REF!,MATCH(tbDez16[[#This Row],[Conta]],'Plano de Contas'!#REF!,0))</f>
        <v>#REF!</v>
      </c>
      <c r="L169" t="e">
        <f>INDEX('Plano de Contas'!#REF!,MATCH(tbDez16[[#This Row],[Conta]],'Plano de Contas'!#REF!,0))</f>
        <v>#REF!</v>
      </c>
    </row>
    <row r="170" spans="1:12" x14ac:dyDescent="0.25">
      <c r="A170" t="s">
        <v>1034</v>
      </c>
      <c r="B170" t="s">
        <v>1841</v>
      </c>
      <c r="C170" t="s">
        <v>1842</v>
      </c>
      <c r="D170">
        <v>39950.959999999999</v>
      </c>
      <c r="E170">
        <v>0</v>
      </c>
      <c r="F170">
        <v>0</v>
      </c>
      <c r="G170">
        <v>0</v>
      </c>
      <c r="H170" s="1">
        <v>39950.959999999999</v>
      </c>
      <c r="I170">
        <v>39.950960000000002</v>
      </c>
      <c r="J170" s="52" t="e">
        <f>INDEX('Plano de Contas'!#REF!,MATCH(tbDez16[[#This Row],[Conta]],'Plano de Contas'!#REF!,0))</f>
        <v>#REF!</v>
      </c>
      <c r="K170" s="52" t="e">
        <f>INDEX('Plano de Contas'!#REF!,MATCH(tbDez16[[#This Row],[Conta]],'Plano de Contas'!#REF!,0))</f>
        <v>#REF!</v>
      </c>
      <c r="L170" t="e">
        <f>INDEX('Plano de Contas'!#REF!,MATCH(tbDez16[[#This Row],[Conta]],'Plano de Contas'!#REF!,0))</f>
        <v>#REF!</v>
      </c>
    </row>
    <row r="171" spans="1:12" x14ac:dyDescent="0.25">
      <c r="A171" t="s">
        <v>1036</v>
      </c>
      <c r="B171" t="s">
        <v>1843</v>
      </c>
      <c r="C171" t="s">
        <v>1844</v>
      </c>
      <c r="D171">
        <v>1941082.32</v>
      </c>
      <c r="E171">
        <v>0</v>
      </c>
      <c r="F171">
        <v>0</v>
      </c>
      <c r="G171">
        <v>0</v>
      </c>
      <c r="H171" s="1">
        <v>1941082.32</v>
      </c>
      <c r="I171">
        <v>1941.08232</v>
      </c>
      <c r="J171" s="52" t="e">
        <f>INDEX('Plano de Contas'!#REF!,MATCH(tbDez16[[#This Row],[Conta]],'Plano de Contas'!#REF!,0))</f>
        <v>#REF!</v>
      </c>
      <c r="K171" s="52" t="e">
        <f>INDEX('Plano de Contas'!#REF!,MATCH(tbDez16[[#This Row],[Conta]],'Plano de Contas'!#REF!,0))</f>
        <v>#REF!</v>
      </c>
      <c r="L171" t="e">
        <f>INDEX('Plano de Contas'!#REF!,MATCH(tbDez16[[#This Row],[Conta]],'Plano de Contas'!#REF!,0))</f>
        <v>#REF!</v>
      </c>
    </row>
    <row r="172" spans="1:12" x14ac:dyDescent="0.25">
      <c r="A172" t="s">
        <v>1038</v>
      </c>
      <c r="B172" t="s">
        <v>1845</v>
      </c>
      <c r="C172" t="s">
        <v>1846</v>
      </c>
      <c r="D172">
        <v>12618172.24</v>
      </c>
      <c r="E172">
        <v>0</v>
      </c>
      <c r="F172">
        <v>0</v>
      </c>
      <c r="G172">
        <v>0</v>
      </c>
      <c r="H172" s="1">
        <v>12618172.24</v>
      </c>
      <c r="I172">
        <v>12618.17224</v>
      </c>
      <c r="J172" s="52" t="e">
        <f>INDEX('Plano de Contas'!#REF!,MATCH(tbDez16[[#This Row],[Conta]],'Plano de Contas'!#REF!,0))</f>
        <v>#REF!</v>
      </c>
      <c r="K172" s="52" t="e">
        <f>INDEX('Plano de Contas'!#REF!,MATCH(tbDez16[[#This Row],[Conta]],'Plano de Contas'!#REF!,0))</f>
        <v>#REF!</v>
      </c>
      <c r="L172" t="e">
        <f>INDEX('Plano de Contas'!#REF!,MATCH(tbDez16[[#This Row],[Conta]],'Plano de Contas'!#REF!,0))</f>
        <v>#REF!</v>
      </c>
    </row>
    <row r="173" spans="1:12" x14ac:dyDescent="0.25">
      <c r="A173" t="s">
        <v>1046</v>
      </c>
      <c r="B173" t="s">
        <v>1847</v>
      </c>
      <c r="C173" t="s">
        <v>1848</v>
      </c>
      <c r="D173">
        <v>523702722.62</v>
      </c>
      <c r="E173">
        <v>0</v>
      </c>
      <c r="F173">
        <v>0</v>
      </c>
      <c r="G173">
        <v>0</v>
      </c>
      <c r="H173" s="1">
        <v>523702722.62</v>
      </c>
      <c r="I173">
        <v>523702.72262000002</v>
      </c>
      <c r="J173" s="52" t="e">
        <f>INDEX('Plano de Contas'!#REF!,MATCH(tbDez16[[#This Row],[Conta]],'Plano de Contas'!#REF!,0))</f>
        <v>#REF!</v>
      </c>
      <c r="K173" s="52" t="e">
        <f>INDEX('Plano de Contas'!#REF!,MATCH(tbDez16[[#This Row],[Conta]],'Plano de Contas'!#REF!,0))</f>
        <v>#REF!</v>
      </c>
      <c r="L173" t="e">
        <f>INDEX('Plano de Contas'!#REF!,MATCH(tbDez16[[#This Row],[Conta]],'Plano de Contas'!#REF!,0))</f>
        <v>#REF!</v>
      </c>
    </row>
    <row r="174" spans="1:12" x14ac:dyDescent="0.25">
      <c r="A174" t="s">
        <v>1169</v>
      </c>
      <c r="B174" t="s">
        <v>1849</v>
      </c>
      <c r="C174" t="s">
        <v>1850</v>
      </c>
      <c r="D174">
        <v>-18334237.129999999</v>
      </c>
      <c r="E174">
        <v>0</v>
      </c>
      <c r="F174">
        <v>797140.02</v>
      </c>
      <c r="G174">
        <v>-797140.02</v>
      </c>
      <c r="H174" s="1">
        <v>-19131377.149999999</v>
      </c>
      <c r="I174">
        <v>-19131.37715</v>
      </c>
      <c r="J174" s="52" t="e">
        <f>INDEX('Plano de Contas'!#REF!,MATCH(tbDez16[[#This Row],[Conta]],'Plano de Contas'!#REF!,0))</f>
        <v>#REF!</v>
      </c>
      <c r="K174" s="52" t="e">
        <f>INDEX('Plano de Contas'!#REF!,MATCH(tbDez16[[#This Row],[Conta]],'Plano de Contas'!#REF!,0))</f>
        <v>#REF!</v>
      </c>
      <c r="L174" t="e">
        <f>INDEX('Plano de Contas'!#REF!,MATCH(tbDez16[[#This Row],[Conta]],'Plano de Contas'!#REF!,0))</f>
        <v>#REF!</v>
      </c>
    </row>
    <row r="175" spans="1:12" x14ac:dyDescent="0.25">
      <c r="A175" t="s">
        <v>1171</v>
      </c>
      <c r="B175" t="s">
        <v>1851</v>
      </c>
      <c r="C175" t="s">
        <v>1852</v>
      </c>
      <c r="D175">
        <v>-416139.34</v>
      </c>
      <c r="E175">
        <v>0</v>
      </c>
      <c r="F175">
        <v>18092.29</v>
      </c>
      <c r="G175">
        <v>-18092.29</v>
      </c>
      <c r="H175" s="1">
        <v>-434231.63</v>
      </c>
      <c r="I175">
        <v>-434.23163</v>
      </c>
      <c r="J175" s="52" t="e">
        <f>INDEX('Plano de Contas'!#REF!,MATCH(tbDez16[[#This Row],[Conta]],'Plano de Contas'!#REF!,0))</f>
        <v>#REF!</v>
      </c>
      <c r="K175" s="52" t="e">
        <f>INDEX('Plano de Contas'!#REF!,MATCH(tbDez16[[#This Row],[Conta]],'Plano de Contas'!#REF!,0))</f>
        <v>#REF!</v>
      </c>
      <c r="L175" t="e">
        <f>INDEX('Plano de Contas'!#REF!,MATCH(tbDez16[[#This Row],[Conta]],'Plano de Contas'!#REF!,0))</f>
        <v>#REF!</v>
      </c>
    </row>
    <row r="176" spans="1:12" x14ac:dyDescent="0.25">
      <c r="A176" t="s">
        <v>1173</v>
      </c>
      <c r="B176" t="s">
        <v>1853</v>
      </c>
      <c r="C176" t="s">
        <v>1854</v>
      </c>
      <c r="D176">
        <v>-583.28</v>
      </c>
      <c r="E176">
        <v>0</v>
      </c>
      <c r="F176">
        <v>25.36</v>
      </c>
      <c r="G176">
        <v>-25.36</v>
      </c>
      <c r="H176" s="1">
        <v>-608.64</v>
      </c>
      <c r="I176">
        <v>-0.60863999999999996</v>
      </c>
      <c r="J176" s="52" t="e">
        <f>INDEX('Plano de Contas'!#REF!,MATCH(tbDez16[[#This Row],[Conta]],'Plano de Contas'!#REF!,0))</f>
        <v>#REF!</v>
      </c>
      <c r="K176" s="52" t="e">
        <f>INDEX('Plano de Contas'!#REF!,MATCH(tbDez16[[#This Row],[Conta]],'Plano de Contas'!#REF!,0))</f>
        <v>#REF!</v>
      </c>
      <c r="L176" t="e">
        <f>INDEX('Plano de Contas'!#REF!,MATCH(tbDez16[[#This Row],[Conta]],'Plano de Contas'!#REF!,0))</f>
        <v>#REF!</v>
      </c>
    </row>
    <row r="177" spans="1:12" x14ac:dyDescent="0.25">
      <c r="A177" t="s">
        <v>1175</v>
      </c>
      <c r="B177" t="s">
        <v>1855</v>
      </c>
      <c r="C177" t="s">
        <v>1856</v>
      </c>
      <c r="D177">
        <v>-74095.42</v>
      </c>
      <c r="E177">
        <v>0</v>
      </c>
      <c r="F177">
        <v>3221.54</v>
      </c>
      <c r="G177">
        <v>-3221.54</v>
      </c>
      <c r="H177" s="1">
        <v>-77316.960000000006</v>
      </c>
      <c r="I177">
        <v>-77.316960000000009</v>
      </c>
      <c r="J177" s="52" t="e">
        <f>INDEX('Plano de Contas'!#REF!,MATCH(tbDez16[[#This Row],[Conta]],'Plano de Contas'!#REF!,0))</f>
        <v>#REF!</v>
      </c>
      <c r="K177" s="52" t="e">
        <f>INDEX('Plano de Contas'!#REF!,MATCH(tbDez16[[#This Row],[Conta]],'Plano de Contas'!#REF!,0))</f>
        <v>#REF!</v>
      </c>
      <c r="L177" t="e">
        <f>INDEX('Plano de Contas'!#REF!,MATCH(tbDez16[[#This Row],[Conta]],'Plano de Contas'!#REF!,0))</f>
        <v>#REF!</v>
      </c>
    </row>
    <row r="178" spans="1:12" x14ac:dyDescent="0.25">
      <c r="A178" t="s">
        <v>1177</v>
      </c>
      <c r="B178" t="s">
        <v>1857</v>
      </c>
      <c r="C178" t="s">
        <v>1858</v>
      </c>
      <c r="D178">
        <v>-49765.1</v>
      </c>
      <c r="E178">
        <v>0</v>
      </c>
      <c r="F178">
        <v>2163.6999999999998</v>
      </c>
      <c r="G178">
        <v>-2163.6999999999998</v>
      </c>
      <c r="H178" s="1">
        <v>-51928.800000000003</v>
      </c>
      <c r="I178">
        <v>-51.928800000000003</v>
      </c>
      <c r="J178" s="52" t="e">
        <f>INDEX('Plano de Contas'!#REF!,MATCH(tbDez16[[#This Row],[Conta]],'Plano de Contas'!#REF!,0))</f>
        <v>#REF!</v>
      </c>
      <c r="K178" s="52" t="e">
        <f>INDEX('Plano de Contas'!#REF!,MATCH(tbDez16[[#This Row],[Conta]],'Plano de Contas'!#REF!,0))</f>
        <v>#REF!</v>
      </c>
      <c r="L178" t="e">
        <f>INDEX('Plano de Contas'!#REF!,MATCH(tbDez16[[#This Row],[Conta]],'Plano de Contas'!#REF!,0))</f>
        <v>#REF!</v>
      </c>
    </row>
    <row r="179" spans="1:12" x14ac:dyDescent="0.25">
      <c r="A179" t="s">
        <v>1179</v>
      </c>
      <c r="B179" t="s">
        <v>1859</v>
      </c>
      <c r="C179" t="s">
        <v>1860</v>
      </c>
      <c r="D179">
        <v>-1278.8</v>
      </c>
      <c r="E179">
        <v>0</v>
      </c>
      <c r="F179">
        <v>55.6</v>
      </c>
      <c r="G179">
        <v>-55.6</v>
      </c>
      <c r="H179" s="1">
        <v>-1334.4</v>
      </c>
      <c r="I179">
        <v>-1.3344</v>
      </c>
      <c r="J179" s="52" t="e">
        <f>INDEX('Plano de Contas'!#REF!,MATCH(tbDez16[[#This Row],[Conta]],'Plano de Contas'!#REF!,0))</f>
        <v>#REF!</v>
      </c>
      <c r="K179" s="52" t="e">
        <f>INDEX('Plano de Contas'!#REF!,MATCH(tbDez16[[#This Row],[Conta]],'Plano de Contas'!#REF!,0))</f>
        <v>#REF!</v>
      </c>
      <c r="L179" t="e">
        <f>INDEX('Plano de Contas'!#REF!,MATCH(tbDez16[[#This Row],[Conta]],'Plano de Contas'!#REF!,0))</f>
        <v>#REF!</v>
      </c>
    </row>
    <row r="180" spans="1:12" x14ac:dyDescent="0.25">
      <c r="A180" t="s">
        <v>1181</v>
      </c>
      <c r="B180" t="s">
        <v>1861</v>
      </c>
      <c r="C180" t="s">
        <v>1862</v>
      </c>
      <c r="D180">
        <v>-62130.82</v>
      </c>
      <c r="E180">
        <v>0</v>
      </c>
      <c r="F180">
        <v>2701.34</v>
      </c>
      <c r="G180">
        <v>-2701.34</v>
      </c>
      <c r="H180" s="1">
        <v>-64832.160000000003</v>
      </c>
      <c r="I180">
        <v>-64.832160000000002</v>
      </c>
      <c r="J180" s="52" t="e">
        <f>INDEX('Plano de Contas'!#REF!,MATCH(tbDez16[[#This Row],[Conta]],'Plano de Contas'!#REF!,0))</f>
        <v>#REF!</v>
      </c>
      <c r="K180" s="52" t="e">
        <f>INDEX('Plano de Contas'!#REF!,MATCH(tbDez16[[#This Row],[Conta]],'Plano de Contas'!#REF!,0))</f>
        <v>#REF!</v>
      </c>
      <c r="L180" t="e">
        <f>INDEX('Plano de Contas'!#REF!,MATCH(tbDez16[[#This Row],[Conta]],'Plano de Contas'!#REF!,0))</f>
        <v>#REF!</v>
      </c>
    </row>
    <row r="181" spans="1:12" x14ac:dyDescent="0.25">
      <c r="A181" t="s">
        <v>1183</v>
      </c>
      <c r="B181" t="s">
        <v>1863</v>
      </c>
      <c r="C181" t="s">
        <v>1864</v>
      </c>
      <c r="D181">
        <v>-967393.11</v>
      </c>
      <c r="E181">
        <v>0</v>
      </c>
      <c r="F181">
        <v>42060.57</v>
      </c>
      <c r="G181">
        <v>-42060.57</v>
      </c>
      <c r="H181" s="1">
        <v>-1009453.68</v>
      </c>
      <c r="I181">
        <v>-1009.4536800000001</v>
      </c>
      <c r="J181" s="52" t="e">
        <f>INDEX('Plano de Contas'!#REF!,MATCH(tbDez16[[#This Row],[Conta]],'Plano de Contas'!#REF!,0))</f>
        <v>#REF!</v>
      </c>
      <c r="K181" s="52" t="e">
        <f>INDEX('Plano de Contas'!#REF!,MATCH(tbDez16[[#This Row],[Conta]],'Plano de Contas'!#REF!,0))</f>
        <v>#REF!</v>
      </c>
      <c r="L181" t="e">
        <f>INDEX('Plano de Contas'!#REF!,MATCH(tbDez16[[#This Row],[Conta]],'Plano de Contas'!#REF!,0))</f>
        <v>#REF!</v>
      </c>
    </row>
    <row r="182" spans="1:12" x14ac:dyDescent="0.25">
      <c r="A182" t="s">
        <v>1185</v>
      </c>
      <c r="B182" t="s">
        <v>1865</v>
      </c>
      <c r="C182" t="s">
        <v>1866</v>
      </c>
      <c r="D182">
        <v>-16762851.26</v>
      </c>
      <c r="E182">
        <v>0</v>
      </c>
      <c r="F182">
        <v>728819.62</v>
      </c>
      <c r="G182">
        <v>-728819.62</v>
      </c>
      <c r="H182" s="1">
        <v>-17491670.879999999</v>
      </c>
      <c r="I182">
        <v>-17491.670879999998</v>
      </c>
      <c r="J182" s="52" t="e">
        <f>INDEX('Plano de Contas'!#REF!,MATCH(tbDez16[[#This Row],[Conta]],'Plano de Contas'!#REF!,0))</f>
        <v>#REF!</v>
      </c>
      <c r="K182" s="52" t="e">
        <f>INDEX('Plano de Contas'!#REF!,MATCH(tbDez16[[#This Row],[Conta]],'Plano de Contas'!#REF!,0))</f>
        <v>#REF!</v>
      </c>
      <c r="L182" t="e">
        <f>INDEX('Plano de Contas'!#REF!,MATCH(tbDez16[[#This Row],[Conta]],'Plano de Contas'!#REF!,0))</f>
        <v>#REF!</v>
      </c>
    </row>
    <row r="183" spans="1:12" x14ac:dyDescent="0.25">
      <c r="A183" t="s">
        <v>447</v>
      </c>
      <c r="B183" t="s">
        <v>1867</v>
      </c>
      <c r="C183" t="s">
        <v>1868</v>
      </c>
      <c r="D183">
        <v>50664875.579999998</v>
      </c>
      <c r="E183">
        <v>1185076.6100000001</v>
      </c>
      <c r="F183">
        <v>242404.59</v>
      </c>
      <c r="G183">
        <v>942672.02000000014</v>
      </c>
      <c r="H183" s="1">
        <v>51607547.600000001</v>
      </c>
      <c r="I183">
        <v>51607.547599999998</v>
      </c>
      <c r="J183" s="52" t="e">
        <f>INDEX('Plano de Contas'!#REF!,MATCH(tbDez16[[#This Row],[Conta]],'Plano de Contas'!#REF!,0))</f>
        <v>#REF!</v>
      </c>
      <c r="K183" s="52" t="e">
        <f>INDEX('Plano de Contas'!#REF!,MATCH(tbDez16[[#This Row],[Conta]],'Plano de Contas'!#REF!,0))</f>
        <v>#REF!</v>
      </c>
      <c r="L183" t="e">
        <f>INDEX('Plano de Contas'!#REF!,MATCH(tbDez16[[#This Row],[Conta]],'Plano de Contas'!#REF!,0))</f>
        <v>#REF!</v>
      </c>
    </row>
    <row r="184" spans="1:12" x14ac:dyDescent="0.25">
      <c r="A184" t="s">
        <v>449</v>
      </c>
      <c r="B184" t="s">
        <v>1869</v>
      </c>
      <c r="C184" t="s">
        <v>1870</v>
      </c>
      <c r="D184">
        <v>57996151.140000001</v>
      </c>
      <c r="E184">
        <v>1185076.6100000001</v>
      </c>
      <c r="F184">
        <v>0</v>
      </c>
      <c r="G184">
        <v>1185076.6100000001</v>
      </c>
      <c r="H184" s="1">
        <v>59181227.75</v>
      </c>
      <c r="I184">
        <v>59181.227749999998</v>
      </c>
      <c r="J184" s="52" t="e">
        <f>INDEX('Plano de Contas'!#REF!,MATCH(tbDez16[[#This Row],[Conta]],'Plano de Contas'!#REF!,0))</f>
        <v>#REF!</v>
      </c>
      <c r="K184" s="52" t="e">
        <f>INDEX('Plano de Contas'!#REF!,MATCH(tbDez16[[#This Row],[Conta]],'Plano de Contas'!#REF!,0))</f>
        <v>#REF!</v>
      </c>
      <c r="L184" t="e">
        <f>INDEX('Plano de Contas'!#REF!,MATCH(tbDez16[[#This Row],[Conta]],'Plano de Contas'!#REF!,0))</f>
        <v>#REF!</v>
      </c>
    </row>
    <row r="185" spans="1:12" x14ac:dyDescent="0.25">
      <c r="A185" t="s">
        <v>451</v>
      </c>
      <c r="B185" t="s">
        <v>1871</v>
      </c>
      <c r="C185" t="s">
        <v>1872</v>
      </c>
      <c r="D185">
        <v>615000</v>
      </c>
      <c r="E185">
        <v>0</v>
      </c>
      <c r="F185">
        <v>0</v>
      </c>
      <c r="G185">
        <v>0</v>
      </c>
      <c r="H185" s="1">
        <v>615000</v>
      </c>
      <c r="I185">
        <v>615</v>
      </c>
      <c r="J185" s="52" t="e">
        <f>INDEX('Plano de Contas'!#REF!,MATCH(tbDez16[[#This Row],[Conta]],'Plano de Contas'!#REF!,0))</f>
        <v>#REF!</v>
      </c>
      <c r="K185" s="52" t="e">
        <f>INDEX('Plano de Contas'!#REF!,MATCH(tbDez16[[#This Row],[Conta]],'Plano de Contas'!#REF!,0))</f>
        <v>#REF!</v>
      </c>
      <c r="L185" t="e">
        <f>INDEX('Plano de Contas'!#REF!,MATCH(tbDez16[[#This Row],[Conta]],'Plano de Contas'!#REF!,0))</f>
        <v>#REF!</v>
      </c>
    </row>
    <row r="186" spans="1:12" x14ac:dyDescent="0.25">
      <c r="A186" t="s">
        <v>453</v>
      </c>
      <c r="B186" t="s">
        <v>1873</v>
      </c>
      <c r="C186" t="s">
        <v>1874</v>
      </c>
      <c r="D186">
        <v>142710.35</v>
      </c>
      <c r="E186">
        <v>0</v>
      </c>
      <c r="F186">
        <v>0</v>
      </c>
      <c r="G186">
        <v>0</v>
      </c>
      <c r="H186" s="1">
        <v>142710.35</v>
      </c>
      <c r="I186">
        <v>142.71035000000001</v>
      </c>
      <c r="J186" s="52" t="e">
        <f>INDEX('Plano de Contas'!#REF!,MATCH(tbDez16[[#This Row],[Conta]],'Plano de Contas'!#REF!,0))</f>
        <v>#REF!</v>
      </c>
      <c r="K186" s="52" t="e">
        <f>INDEX('Plano de Contas'!#REF!,MATCH(tbDez16[[#This Row],[Conta]],'Plano de Contas'!#REF!,0))</f>
        <v>#REF!</v>
      </c>
      <c r="L186" t="e">
        <f>INDEX('Plano de Contas'!#REF!,MATCH(tbDez16[[#This Row],[Conta]],'Plano de Contas'!#REF!,0))</f>
        <v>#REF!</v>
      </c>
    </row>
    <row r="187" spans="1:12" x14ac:dyDescent="0.25">
      <c r="A187" t="s">
        <v>455</v>
      </c>
      <c r="B187" t="s">
        <v>1875</v>
      </c>
      <c r="C187" t="s">
        <v>1876</v>
      </c>
      <c r="D187">
        <v>142040.47</v>
      </c>
      <c r="E187">
        <v>0</v>
      </c>
      <c r="F187">
        <v>0</v>
      </c>
      <c r="G187">
        <v>0</v>
      </c>
      <c r="H187" s="1">
        <v>142040.47</v>
      </c>
      <c r="I187">
        <v>142.04047</v>
      </c>
      <c r="J187" s="52" t="e">
        <f>INDEX('Plano de Contas'!#REF!,MATCH(tbDez16[[#This Row],[Conta]],'Plano de Contas'!#REF!,0))</f>
        <v>#REF!</v>
      </c>
      <c r="K187" s="52" t="e">
        <f>INDEX('Plano de Contas'!#REF!,MATCH(tbDez16[[#This Row],[Conta]],'Plano de Contas'!#REF!,0))</f>
        <v>#REF!</v>
      </c>
      <c r="L187" t="e">
        <f>INDEX('Plano de Contas'!#REF!,MATCH(tbDez16[[#This Row],[Conta]],'Plano de Contas'!#REF!,0))</f>
        <v>#REF!</v>
      </c>
    </row>
    <row r="188" spans="1:12" x14ac:dyDescent="0.25">
      <c r="A188" t="s">
        <v>457</v>
      </c>
      <c r="B188" t="s">
        <v>1877</v>
      </c>
      <c r="C188" t="s">
        <v>1878</v>
      </c>
      <c r="D188">
        <v>1787658.7</v>
      </c>
      <c r="E188">
        <v>0</v>
      </c>
      <c r="F188">
        <v>0</v>
      </c>
      <c r="G188">
        <v>0</v>
      </c>
      <c r="H188" s="1">
        <v>1787658.7</v>
      </c>
      <c r="I188">
        <v>1787.6587</v>
      </c>
      <c r="J188" s="52" t="e">
        <f>INDEX('Plano de Contas'!#REF!,MATCH(tbDez16[[#This Row],[Conta]],'Plano de Contas'!#REF!,0))</f>
        <v>#REF!</v>
      </c>
      <c r="K188" s="52" t="e">
        <f>INDEX('Plano de Contas'!#REF!,MATCH(tbDez16[[#This Row],[Conta]],'Plano de Contas'!#REF!,0))</f>
        <v>#REF!</v>
      </c>
      <c r="L188" t="e">
        <f>INDEX('Plano de Contas'!#REF!,MATCH(tbDez16[[#This Row],[Conta]],'Plano de Contas'!#REF!,0))</f>
        <v>#REF!</v>
      </c>
    </row>
    <row r="189" spans="1:12" x14ac:dyDescent="0.25">
      <c r="A189" t="s">
        <v>459</v>
      </c>
      <c r="B189" t="s">
        <v>1879</v>
      </c>
      <c r="C189" t="s">
        <v>1880</v>
      </c>
      <c r="D189">
        <v>7149550.1500000004</v>
      </c>
      <c r="E189">
        <v>0</v>
      </c>
      <c r="F189">
        <v>0</v>
      </c>
      <c r="G189">
        <v>0</v>
      </c>
      <c r="H189" s="1">
        <v>7149550.1500000004</v>
      </c>
      <c r="I189">
        <v>7149.55015</v>
      </c>
      <c r="J189" s="52" t="e">
        <f>INDEX('Plano de Contas'!#REF!,MATCH(tbDez16[[#This Row],[Conta]],'Plano de Contas'!#REF!,0))</f>
        <v>#REF!</v>
      </c>
      <c r="K189" s="52" t="e">
        <f>INDEX('Plano de Contas'!#REF!,MATCH(tbDez16[[#This Row],[Conta]],'Plano de Contas'!#REF!,0))</f>
        <v>#REF!</v>
      </c>
      <c r="L189" t="e">
        <f>INDEX('Plano de Contas'!#REF!,MATCH(tbDez16[[#This Row],[Conta]],'Plano de Contas'!#REF!,0))</f>
        <v>#REF!</v>
      </c>
    </row>
    <row r="190" spans="1:12" x14ac:dyDescent="0.25">
      <c r="A190" t="s">
        <v>461</v>
      </c>
      <c r="B190" t="s">
        <v>1881</v>
      </c>
      <c r="C190" t="s">
        <v>1882</v>
      </c>
      <c r="D190">
        <v>643.07000000000005</v>
      </c>
      <c r="E190">
        <v>0</v>
      </c>
      <c r="F190">
        <v>0</v>
      </c>
      <c r="G190">
        <v>0</v>
      </c>
      <c r="H190" s="1">
        <v>643.07000000000005</v>
      </c>
      <c r="I190">
        <v>0.64307000000000003</v>
      </c>
      <c r="J190" s="52" t="e">
        <f>INDEX('Plano de Contas'!#REF!,MATCH(tbDez16[[#This Row],[Conta]],'Plano de Contas'!#REF!,0))</f>
        <v>#REF!</v>
      </c>
      <c r="K190" s="52" t="e">
        <f>INDEX('Plano de Contas'!#REF!,MATCH(tbDez16[[#This Row],[Conta]],'Plano de Contas'!#REF!,0))</f>
        <v>#REF!</v>
      </c>
      <c r="L190" t="e">
        <f>INDEX('Plano de Contas'!#REF!,MATCH(tbDez16[[#This Row],[Conta]],'Plano de Contas'!#REF!,0))</f>
        <v>#REF!</v>
      </c>
    </row>
    <row r="191" spans="1:12" x14ac:dyDescent="0.25">
      <c r="A191" t="s">
        <v>463</v>
      </c>
      <c r="B191" t="s">
        <v>1883</v>
      </c>
      <c r="C191" t="s">
        <v>1884</v>
      </c>
      <c r="D191">
        <v>50864.08</v>
      </c>
      <c r="E191">
        <v>0</v>
      </c>
      <c r="F191">
        <v>0</v>
      </c>
      <c r="G191">
        <v>0</v>
      </c>
      <c r="H191" s="1">
        <v>50864.08</v>
      </c>
      <c r="I191">
        <v>50.864080000000001</v>
      </c>
      <c r="J191" s="52" t="e">
        <f>INDEX('Plano de Contas'!#REF!,MATCH(tbDez16[[#This Row],[Conta]],'Plano de Contas'!#REF!,0))</f>
        <v>#REF!</v>
      </c>
      <c r="K191" s="52" t="e">
        <f>INDEX('Plano de Contas'!#REF!,MATCH(tbDez16[[#This Row],[Conta]],'Plano de Contas'!#REF!,0))</f>
        <v>#REF!</v>
      </c>
      <c r="L191" t="e">
        <f>INDEX('Plano de Contas'!#REF!,MATCH(tbDez16[[#This Row],[Conta]],'Plano de Contas'!#REF!,0))</f>
        <v>#REF!</v>
      </c>
    </row>
    <row r="192" spans="1:12" x14ac:dyDescent="0.25">
      <c r="A192" t="s">
        <v>465</v>
      </c>
      <c r="B192" t="s">
        <v>1885</v>
      </c>
      <c r="C192" t="s">
        <v>1886</v>
      </c>
      <c r="D192">
        <v>1244022.53</v>
      </c>
      <c r="E192">
        <v>0</v>
      </c>
      <c r="F192">
        <v>0</v>
      </c>
      <c r="G192">
        <v>0</v>
      </c>
      <c r="H192" s="1">
        <v>1244022.53</v>
      </c>
      <c r="I192">
        <v>1244.02253</v>
      </c>
      <c r="J192" s="52" t="e">
        <f>INDEX('Plano de Contas'!#REF!,MATCH(tbDez16[[#This Row],[Conta]],'Plano de Contas'!#REF!,0))</f>
        <v>#REF!</v>
      </c>
      <c r="K192" s="52" t="e">
        <f>INDEX('Plano de Contas'!#REF!,MATCH(tbDez16[[#This Row],[Conta]],'Plano de Contas'!#REF!,0))</f>
        <v>#REF!</v>
      </c>
      <c r="L192" t="e">
        <f>INDEX('Plano de Contas'!#REF!,MATCH(tbDez16[[#This Row],[Conta]],'Plano de Contas'!#REF!,0))</f>
        <v>#REF!</v>
      </c>
    </row>
    <row r="193" spans="1:12" x14ac:dyDescent="0.25">
      <c r="A193" t="s">
        <v>467</v>
      </c>
      <c r="B193" t="s">
        <v>1887</v>
      </c>
      <c r="C193" t="s">
        <v>1888</v>
      </c>
      <c r="D193">
        <v>700000</v>
      </c>
      <c r="E193">
        <v>0</v>
      </c>
      <c r="F193">
        <v>0</v>
      </c>
      <c r="G193">
        <v>0</v>
      </c>
      <c r="H193" s="1">
        <v>700000</v>
      </c>
      <c r="I193">
        <v>700</v>
      </c>
      <c r="J193" s="52" t="e">
        <f>INDEX('Plano de Contas'!#REF!,MATCH(tbDez16[[#This Row],[Conta]],'Plano de Contas'!#REF!,0))</f>
        <v>#REF!</v>
      </c>
      <c r="K193" s="52" t="e">
        <f>INDEX('Plano de Contas'!#REF!,MATCH(tbDez16[[#This Row],[Conta]],'Plano de Contas'!#REF!,0))</f>
        <v>#REF!</v>
      </c>
      <c r="L193" t="e">
        <f>INDEX('Plano de Contas'!#REF!,MATCH(tbDez16[[#This Row],[Conta]],'Plano de Contas'!#REF!,0))</f>
        <v>#REF!</v>
      </c>
    </row>
    <row r="194" spans="1:12" x14ac:dyDescent="0.25">
      <c r="A194" t="s">
        <v>469</v>
      </c>
      <c r="B194" t="s">
        <v>1889</v>
      </c>
      <c r="C194" t="s">
        <v>1890</v>
      </c>
      <c r="D194">
        <v>149771.41</v>
      </c>
      <c r="E194">
        <v>0</v>
      </c>
      <c r="F194">
        <v>0</v>
      </c>
      <c r="G194">
        <v>0</v>
      </c>
      <c r="H194" s="1">
        <v>149771.41</v>
      </c>
      <c r="I194">
        <v>149.77141</v>
      </c>
      <c r="J194" s="52" t="e">
        <f>INDEX('Plano de Contas'!#REF!,MATCH(tbDez16[[#This Row],[Conta]],'Plano de Contas'!#REF!,0))</f>
        <v>#REF!</v>
      </c>
      <c r="K194" s="52" t="e">
        <f>INDEX('Plano de Contas'!#REF!,MATCH(tbDez16[[#This Row],[Conta]],'Plano de Contas'!#REF!,0))</f>
        <v>#REF!</v>
      </c>
      <c r="L194" t="e">
        <f>INDEX('Plano de Contas'!#REF!,MATCH(tbDez16[[#This Row],[Conta]],'Plano de Contas'!#REF!,0))</f>
        <v>#REF!</v>
      </c>
    </row>
    <row r="195" spans="1:12" x14ac:dyDescent="0.25">
      <c r="A195" t="s">
        <v>475</v>
      </c>
      <c r="B195" t="s">
        <v>1891</v>
      </c>
      <c r="C195" t="s">
        <v>1892</v>
      </c>
      <c r="D195">
        <v>125988.94</v>
      </c>
      <c r="E195">
        <v>0</v>
      </c>
      <c r="F195">
        <v>0</v>
      </c>
      <c r="G195">
        <v>0</v>
      </c>
      <c r="H195" s="1">
        <v>125988.94</v>
      </c>
      <c r="I195">
        <v>125.98894</v>
      </c>
      <c r="J195" s="52" t="e">
        <f>INDEX('Plano de Contas'!#REF!,MATCH(tbDez16[[#This Row],[Conta]],'Plano de Contas'!#REF!,0))</f>
        <v>#REF!</v>
      </c>
      <c r="K195" s="52" t="e">
        <f>INDEX('Plano de Contas'!#REF!,MATCH(tbDez16[[#This Row],[Conta]],'Plano de Contas'!#REF!,0))</f>
        <v>#REF!</v>
      </c>
      <c r="L195" t="e">
        <f>INDEX('Plano de Contas'!#REF!,MATCH(tbDez16[[#This Row],[Conta]],'Plano de Contas'!#REF!,0))</f>
        <v>#REF!</v>
      </c>
    </row>
    <row r="196" spans="1:12" x14ac:dyDescent="0.25">
      <c r="A196" t="s">
        <v>477</v>
      </c>
      <c r="B196" t="s">
        <v>1893</v>
      </c>
      <c r="C196" t="s">
        <v>1894</v>
      </c>
      <c r="D196">
        <v>4338500.72</v>
      </c>
      <c r="E196">
        <v>0</v>
      </c>
      <c r="F196">
        <v>0</v>
      </c>
      <c r="G196">
        <v>0</v>
      </c>
      <c r="H196" s="1">
        <v>4338500.72</v>
      </c>
      <c r="I196">
        <v>4338.50072</v>
      </c>
      <c r="J196" s="52" t="e">
        <f>INDEX('Plano de Contas'!#REF!,MATCH(tbDez16[[#This Row],[Conta]],'Plano de Contas'!#REF!,0))</f>
        <v>#REF!</v>
      </c>
      <c r="K196" s="52" t="e">
        <f>INDEX('Plano de Contas'!#REF!,MATCH(tbDez16[[#This Row],[Conta]],'Plano de Contas'!#REF!,0))</f>
        <v>#REF!</v>
      </c>
      <c r="L196" t="e">
        <f>INDEX('Plano de Contas'!#REF!,MATCH(tbDez16[[#This Row],[Conta]],'Plano de Contas'!#REF!,0))</f>
        <v>#REF!</v>
      </c>
    </row>
    <row r="197" spans="1:12" x14ac:dyDescent="0.25">
      <c r="A197" t="s">
        <v>481</v>
      </c>
      <c r="B197" t="s">
        <v>1895</v>
      </c>
      <c r="C197" t="s">
        <v>1896</v>
      </c>
      <c r="D197">
        <v>14187623.130000001</v>
      </c>
      <c r="E197">
        <v>0</v>
      </c>
      <c r="F197">
        <v>0</v>
      </c>
      <c r="G197">
        <v>0</v>
      </c>
      <c r="H197" s="1">
        <v>14187623.130000001</v>
      </c>
      <c r="I197">
        <v>14187.62313</v>
      </c>
      <c r="J197" s="52" t="e">
        <f>INDEX('Plano de Contas'!#REF!,MATCH(tbDez16[[#This Row],[Conta]],'Plano de Contas'!#REF!,0))</f>
        <v>#REF!</v>
      </c>
      <c r="K197" s="52" t="e">
        <f>INDEX('Plano de Contas'!#REF!,MATCH(tbDez16[[#This Row],[Conta]],'Plano de Contas'!#REF!,0))</f>
        <v>#REF!</v>
      </c>
      <c r="L197" t="e">
        <f>INDEX('Plano de Contas'!#REF!,MATCH(tbDez16[[#This Row],[Conta]],'Plano de Contas'!#REF!,0))</f>
        <v>#REF!</v>
      </c>
    </row>
    <row r="198" spans="1:12" x14ac:dyDescent="0.25">
      <c r="A198" t="s">
        <v>1049</v>
      </c>
      <c r="B198" t="s">
        <v>1897</v>
      </c>
      <c r="C198" t="s">
        <v>1898</v>
      </c>
      <c r="D198">
        <v>24573901.469999999</v>
      </c>
      <c r="E198">
        <v>1055555.99</v>
      </c>
      <c r="F198">
        <v>0</v>
      </c>
      <c r="G198">
        <v>1055555.99</v>
      </c>
      <c r="H198" s="1">
        <v>25629457.460000001</v>
      </c>
      <c r="I198">
        <v>25629.457460000001</v>
      </c>
      <c r="J198" s="52" t="e">
        <f>INDEX('Plano de Contas'!#REF!,MATCH(tbDez16[[#This Row],[Conta]],'Plano de Contas'!#REF!,0))</f>
        <v>#REF!</v>
      </c>
      <c r="K198" s="52" t="e">
        <f>INDEX('Plano de Contas'!#REF!,MATCH(tbDez16[[#This Row],[Conta]],'Plano de Contas'!#REF!,0))</f>
        <v>#REF!</v>
      </c>
      <c r="L198" t="e">
        <f>INDEX('Plano de Contas'!#REF!,MATCH(tbDez16[[#This Row],[Conta]],'Plano de Contas'!#REF!,0))</f>
        <v>#REF!</v>
      </c>
    </row>
    <row r="199" spans="1:12" x14ac:dyDescent="0.25">
      <c r="A199" t="s">
        <v>487</v>
      </c>
      <c r="B199" t="s">
        <v>1899</v>
      </c>
      <c r="C199" t="s">
        <v>1900</v>
      </c>
      <c r="D199">
        <v>2787876.12</v>
      </c>
      <c r="E199">
        <v>129520.62</v>
      </c>
      <c r="F199">
        <v>0</v>
      </c>
      <c r="G199">
        <v>129520.62</v>
      </c>
      <c r="H199" s="1">
        <v>2917396.74</v>
      </c>
      <c r="I199">
        <v>2917.3967400000001</v>
      </c>
      <c r="J199" s="52" t="e">
        <f>INDEX('Plano de Contas'!#REF!,MATCH(tbDez16[[#This Row],[Conta]],'Plano de Contas'!#REF!,0))</f>
        <v>#REF!</v>
      </c>
      <c r="K199" s="52" t="e">
        <f>INDEX('Plano de Contas'!#REF!,MATCH(tbDez16[[#This Row],[Conta]],'Plano de Contas'!#REF!,0))</f>
        <v>#REF!</v>
      </c>
      <c r="L199" t="e">
        <f>INDEX('Plano de Contas'!#REF!,MATCH(tbDez16[[#This Row],[Conta]],'Plano de Contas'!#REF!,0))</f>
        <v>#REF!</v>
      </c>
    </row>
    <row r="200" spans="1:12" x14ac:dyDescent="0.25">
      <c r="A200" t="s">
        <v>489</v>
      </c>
      <c r="B200" t="s">
        <v>1901</v>
      </c>
      <c r="C200" t="s">
        <v>1902</v>
      </c>
      <c r="D200">
        <v>-7333147.9900000002</v>
      </c>
      <c r="E200">
        <v>0</v>
      </c>
      <c r="F200">
        <v>242404.59</v>
      </c>
      <c r="G200">
        <v>-242404.59</v>
      </c>
      <c r="H200" s="1">
        <v>-7575552.5800000001</v>
      </c>
      <c r="I200">
        <v>-7575.5525800000005</v>
      </c>
      <c r="J200" s="52" t="e">
        <f>INDEX('Plano de Contas'!#REF!,MATCH(tbDez16[[#This Row],[Conta]],'Plano de Contas'!#REF!,0))</f>
        <v>#REF!</v>
      </c>
      <c r="K200" s="52" t="e">
        <f>INDEX('Plano de Contas'!#REF!,MATCH(tbDez16[[#This Row],[Conta]],'Plano de Contas'!#REF!,0))</f>
        <v>#REF!</v>
      </c>
      <c r="L200" t="e">
        <f>INDEX('Plano de Contas'!#REF!,MATCH(tbDez16[[#This Row],[Conta]],'Plano de Contas'!#REF!,0))</f>
        <v>#REF!</v>
      </c>
    </row>
    <row r="201" spans="1:12" x14ac:dyDescent="0.25">
      <c r="A201" t="s">
        <v>491</v>
      </c>
      <c r="B201" t="s">
        <v>1903</v>
      </c>
      <c r="C201" t="s">
        <v>1904</v>
      </c>
      <c r="D201">
        <v>-878932.39</v>
      </c>
      <c r="E201">
        <v>0</v>
      </c>
      <c r="F201">
        <v>0</v>
      </c>
      <c r="G201">
        <v>0</v>
      </c>
      <c r="H201" s="1">
        <v>-878932.39</v>
      </c>
      <c r="I201">
        <v>-878.93239000000005</v>
      </c>
      <c r="J201" s="52" t="e">
        <f>INDEX('Plano de Contas'!#REF!,MATCH(tbDez16[[#This Row],[Conta]],'Plano de Contas'!#REF!,0))</f>
        <v>#REF!</v>
      </c>
      <c r="K201" s="52" t="e">
        <f>INDEX('Plano de Contas'!#REF!,MATCH(tbDez16[[#This Row],[Conta]],'Plano de Contas'!#REF!,0))</f>
        <v>#REF!</v>
      </c>
      <c r="L201" t="e">
        <f>INDEX('Plano de Contas'!#REF!,MATCH(tbDez16[[#This Row],[Conta]],'Plano de Contas'!#REF!,0))</f>
        <v>#REF!</v>
      </c>
    </row>
    <row r="202" spans="1:12" x14ac:dyDescent="0.25">
      <c r="A202" t="s">
        <v>493</v>
      </c>
      <c r="B202" t="s">
        <v>1905</v>
      </c>
      <c r="C202" t="s">
        <v>1906</v>
      </c>
      <c r="D202">
        <v>-2222996.04</v>
      </c>
      <c r="E202">
        <v>0</v>
      </c>
      <c r="F202">
        <v>69616.149999999994</v>
      </c>
      <c r="G202">
        <v>-69616.149999999994</v>
      </c>
      <c r="H202" s="1">
        <v>-2292612.19</v>
      </c>
      <c r="I202">
        <v>-2292.6121899999998</v>
      </c>
      <c r="J202" s="52" t="e">
        <f>INDEX('Plano de Contas'!#REF!,MATCH(tbDez16[[#This Row],[Conta]],'Plano de Contas'!#REF!,0))</f>
        <v>#REF!</v>
      </c>
      <c r="K202" s="52" t="e">
        <f>INDEX('Plano de Contas'!#REF!,MATCH(tbDez16[[#This Row],[Conta]],'Plano de Contas'!#REF!,0))</f>
        <v>#REF!</v>
      </c>
      <c r="L202" t="e">
        <f>INDEX('Plano de Contas'!#REF!,MATCH(tbDez16[[#This Row],[Conta]],'Plano de Contas'!#REF!,0))</f>
        <v>#REF!</v>
      </c>
    </row>
    <row r="203" spans="1:12" x14ac:dyDescent="0.25">
      <c r="A203" t="s">
        <v>495</v>
      </c>
      <c r="B203" t="s">
        <v>1907</v>
      </c>
      <c r="C203" t="s">
        <v>1908</v>
      </c>
      <c r="D203">
        <v>-643.07000000000005</v>
      </c>
      <c r="E203">
        <v>0</v>
      </c>
      <c r="F203">
        <v>0</v>
      </c>
      <c r="G203">
        <v>0</v>
      </c>
      <c r="H203" s="1">
        <v>-643.07000000000005</v>
      </c>
      <c r="I203">
        <v>-0.64307000000000003</v>
      </c>
      <c r="J203" s="52" t="e">
        <f>INDEX('Plano de Contas'!#REF!,MATCH(tbDez16[[#This Row],[Conta]],'Plano de Contas'!#REF!,0))</f>
        <v>#REF!</v>
      </c>
      <c r="K203" s="52" t="e">
        <f>INDEX('Plano de Contas'!#REF!,MATCH(tbDez16[[#This Row],[Conta]],'Plano de Contas'!#REF!,0))</f>
        <v>#REF!</v>
      </c>
      <c r="L203" t="e">
        <f>INDEX('Plano de Contas'!#REF!,MATCH(tbDez16[[#This Row],[Conta]],'Plano de Contas'!#REF!,0))</f>
        <v>#REF!</v>
      </c>
    </row>
    <row r="204" spans="1:12" x14ac:dyDescent="0.25">
      <c r="A204" t="s">
        <v>497</v>
      </c>
      <c r="B204" t="s">
        <v>1909</v>
      </c>
      <c r="C204" t="s">
        <v>1910</v>
      </c>
      <c r="D204">
        <v>-11105.33</v>
      </c>
      <c r="E204">
        <v>0</v>
      </c>
      <c r="F204">
        <v>423.87</v>
      </c>
      <c r="G204">
        <v>-423.87</v>
      </c>
      <c r="H204" s="1">
        <v>-11529.2</v>
      </c>
      <c r="I204">
        <v>-11.529200000000001</v>
      </c>
      <c r="J204" s="52" t="e">
        <f>INDEX('Plano de Contas'!#REF!,MATCH(tbDez16[[#This Row],[Conta]],'Plano de Contas'!#REF!,0))</f>
        <v>#REF!</v>
      </c>
      <c r="K204" s="52" t="e">
        <f>INDEX('Plano de Contas'!#REF!,MATCH(tbDez16[[#This Row],[Conta]],'Plano de Contas'!#REF!,0))</f>
        <v>#REF!</v>
      </c>
      <c r="L204" t="e">
        <f>INDEX('Plano de Contas'!#REF!,MATCH(tbDez16[[#This Row],[Conta]],'Plano de Contas'!#REF!,0))</f>
        <v>#REF!</v>
      </c>
    </row>
    <row r="205" spans="1:12" x14ac:dyDescent="0.25">
      <c r="A205" t="s">
        <v>499</v>
      </c>
      <c r="B205" t="s">
        <v>1911</v>
      </c>
      <c r="C205" t="s">
        <v>1912</v>
      </c>
      <c r="D205">
        <v>-227150.96</v>
      </c>
      <c r="E205">
        <v>0</v>
      </c>
      <c r="F205">
        <v>12066.96</v>
      </c>
      <c r="G205">
        <v>-12066.96</v>
      </c>
      <c r="H205" s="1">
        <v>-239217.92000000001</v>
      </c>
      <c r="I205">
        <v>-239.21792000000002</v>
      </c>
      <c r="J205" s="52" t="e">
        <f>INDEX('Plano de Contas'!#REF!,MATCH(tbDez16[[#This Row],[Conta]],'Plano de Contas'!#REF!,0))</f>
        <v>#REF!</v>
      </c>
      <c r="K205" s="52" t="e">
        <f>INDEX('Plano de Contas'!#REF!,MATCH(tbDez16[[#This Row],[Conta]],'Plano de Contas'!#REF!,0))</f>
        <v>#REF!</v>
      </c>
      <c r="L205" t="e">
        <f>INDEX('Plano de Contas'!#REF!,MATCH(tbDez16[[#This Row],[Conta]],'Plano de Contas'!#REF!,0))</f>
        <v>#REF!</v>
      </c>
    </row>
    <row r="206" spans="1:12" x14ac:dyDescent="0.25">
      <c r="A206" t="s">
        <v>501</v>
      </c>
      <c r="B206" t="s">
        <v>1913</v>
      </c>
      <c r="C206" t="s">
        <v>1914</v>
      </c>
      <c r="D206">
        <v>-419999.76</v>
      </c>
      <c r="E206">
        <v>0</v>
      </c>
      <c r="F206">
        <v>5833.33</v>
      </c>
      <c r="G206">
        <v>-5833.33</v>
      </c>
      <c r="H206" s="1">
        <v>-425833.09</v>
      </c>
      <c r="I206">
        <v>-425.83309000000003</v>
      </c>
      <c r="J206" s="52" t="e">
        <f>INDEX('Plano de Contas'!#REF!,MATCH(tbDez16[[#This Row],[Conta]],'Plano de Contas'!#REF!,0))</f>
        <v>#REF!</v>
      </c>
      <c r="K206" s="52" t="e">
        <f>INDEX('Plano de Contas'!#REF!,MATCH(tbDez16[[#This Row],[Conta]],'Plano de Contas'!#REF!,0))</f>
        <v>#REF!</v>
      </c>
      <c r="L206" t="e">
        <f>INDEX('Plano de Contas'!#REF!,MATCH(tbDez16[[#This Row],[Conta]],'Plano de Contas'!#REF!,0))</f>
        <v>#REF!</v>
      </c>
    </row>
    <row r="207" spans="1:12" x14ac:dyDescent="0.25">
      <c r="A207" t="s">
        <v>503</v>
      </c>
      <c r="B207" t="s">
        <v>1915</v>
      </c>
      <c r="C207" t="s">
        <v>1916</v>
      </c>
      <c r="D207">
        <v>-5594.4</v>
      </c>
      <c r="E207">
        <v>0</v>
      </c>
      <c r="F207">
        <v>79.92</v>
      </c>
      <c r="G207">
        <v>-79.92</v>
      </c>
      <c r="H207" s="1">
        <v>-5674.32</v>
      </c>
      <c r="I207">
        <v>-5.6743199999999998</v>
      </c>
      <c r="J207" s="52" t="e">
        <f>INDEX('Plano de Contas'!#REF!,MATCH(tbDez16[[#This Row],[Conta]],'Plano de Contas'!#REF!,0))</f>
        <v>#REF!</v>
      </c>
      <c r="K207" s="52" t="e">
        <f>INDEX('Plano de Contas'!#REF!,MATCH(tbDez16[[#This Row],[Conta]],'Plano de Contas'!#REF!,0))</f>
        <v>#REF!</v>
      </c>
      <c r="L207" t="e">
        <f>INDEX('Plano de Contas'!#REF!,MATCH(tbDez16[[#This Row],[Conta]],'Plano de Contas'!#REF!,0))</f>
        <v>#REF!</v>
      </c>
    </row>
    <row r="208" spans="1:12" x14ac:dyDescent="0.25">
      <c r="A208" t="s">
        <v>505</v>
      </c>
      <c r="B208" t="s">
        <v>1917</v>
      </c>
      <c r="C208" t="s">
        <v>1918</v>
      </c>
      <c r="D208">
        <v>-847431.67</v>
      </c>
      <c r="E208">
        <v>0</v>
      </c>
      <c r="F208">
        <v>36154.17</v>
      </c>
      <c r="G208">
        <v>-36154.17</v>
      </c>
      <c r="H208" s="1">
        <v>-883585.84</v>
      </c>
      <c r="I208">
        <v>-883.58583999999996</v>
      </c>
      <c r="J208" s="52" t="e">
        <f>INDEX('Plano de Contas'!#REF!,MATCH(tbDez16[[#This Row],[Conta]],'Plano de Contas'!#REF!,0))</f>
        <v>#REF!</v>
      </c>
      <c r="K208" s="52" t="e">
        <f>INDEX('Plano de Contas'!#REF!,MATCH(tbDez16[[#This Row],[Conta]],'Plano de Contas'!#REF!,0))</f>
        <v>#REF!</v>
      </c>
      <c r="L208" t="e">
        <f>INDEX('Plano de Contas'!#REF!,MATCH(tbDez16[[#This Row],[Conta]],'Plano de Contas'!#REF!,0))</f>
        <v>#REF!</v>
      </c>
    </row>
    <row r="209" spans="1:12" x14ac:dyDescent="0.25">
      <c r="A209" t="s">
        <v>1187</v>
      </c>
      <c r="B209" t="s">
        <v>1919</v>
      </c>
      <c r="C209" t="s">
        <v>1920</v>
      </c>
      <c r="D209">
        <v>-2719294.37</v>
      </c>
      <c r="E209">
        <v>0</v>
      </c>
      <c r="F209">
        <v>118230.19</v>
      </c>
      <c r="G209">
        <v>-118230.19</v>
      </c>
      <c r="H209" s="1">
        <v>-2837524.56</v>
      </c>
      <c r="I209">
        <v>-2837.5245599999998</v>
      </c>
      <c r="J209" s="52" t="e">
        <f>INDEX('Plano de Contas'!#REF!,MATCH(tbDez16[[#This Row],[Conta]],'Plano de Contas'!#REF!,0))</f>
        <v>#REF!</v>
      </c>
      <c r="K209" s="52" t="e">
        <f>INDEX('Plano de Contas'!#REF!,MATCH(tbDez16[[#This Row],[Conta]],'Plano de Contas'!#REF!,0))</f>
        <v>#REF!</v>
      </c>
      <c r="L209" t="e">
        <f>INDEX('Plano de Contas'!#REF!,MATCH(tbDez16[[#This Row],[Conta]],'Plano de Contas'!#REF!,0))</f>
        <v>#REF!</v>
      </c>
    </row>
    <row r="210" spans="1:12" x14ac:dyDescent="0.25">
      <c r="A210" t="s">
        <v>507</v>
      </c>
      <c r="B210" t="s">
        <v>1921</v>
      </c>
      <c r="C210" t="s">
        <v>1773</v>
      </c>
      <c r="D210">
        <v>1872.43</v>
      </c>
      <c r="E210">
        <v>0</v>
      </c>
      <c r="F210">
        <v>0</v>
      </c>
      <c r="G210">
        <v>0</v>
      </c>
      <c r="H210" s="1">
        <v>1872.43</v>
      </c>
      <c r="I210">
        <v>1.87243</v>
      </c>
      <c r="J210" s="52" t="e">
        <f>INDEX('Plano de Contas'!#REF!,MATCH(tbDez16[[#This Row],[Conta]],'Plano de Contas'!#REF!,0))</f>
        <v>#REF!</v>
      </c>
      <c r="K210" s="52" t="e">
        <f>INDEX('Plano de Contas'!#REF!,MATCH(tbDez16[[#This Row],[Conta]],'Plano de Contas'!#REF!,0))</f>
        <v>#REF!</v>
      </c>
      <c r="L210" t="e">
        <f>INDEX('Plano de Contas'!#REF!,MATCH(tbDez16[[#This Row],[Conta]],'Plano de Contas'!#REF!,0))</f>
        <v>#REF!</v>
      </c>
    </row>
    <row r="211" spans="1:12" x14ac:dyDescent="0.25">
      <c r="A211" t="s">
        <v>508</v>
      </c>
      <c r="B211" t="s">
        <v>1922</v>
      </c>
      <c r="C211" t="s">
        <v>1923</v>
      </c>
      <c r="D211">
        <v>1872.43</v>
      </c>
      <c r="E211">
        <v>0</v>
      </c>
      <c r="F211">
        <v>0</v>
      </c>
      <c r="G211">
        <v>0</v>
      </c>
      <c r="H211" s="1">
        <v>1872.43</v>
      </c>
      <c r="I211">
        <v>1.87243</v>
      </c>
      <c r="J211" s="52" t="e">
        <f>INDEX('Plano de Contas'!#REF!,MATCH(tbDez16[[#This Row],[Conta]],'Plano de Contas'!#REF!,0))</f>
        <v>#REF!</v>
      </c>
      <c r="K211" s="52" t="e">
        <f>INDEX('Plano de Contas'!#REF!,MATCH(tbDez16[[#This Row],[Conta]],'Plano de Contas'!#REF!,0))</f>
        <v>#REF!</v>
      </c>
      <c r="L211" t="e">
        <f>INDEX('Plano de Contas'!#REF!,MATCH(tbDez16[[#This Row],[Conta]],'Plano de Contas'!#REF!,0))</f>
        <v>#REF!</v>
      </c>
    </row>
    <row r="212" spans="1:12" x14ac:dyDescent="0.25">
      <c r="A212" t="s">
        <v>1472</v>
      </c>
      <c r="B212" t="s">
        <v>1924</v>
      </c>
      <c r="C212" t="s">
        <v>1925</v>
      </c>
      <c r="D212">
        <v>-5346148196.5600004</v>
      </c>
      <c r="E212">
        <v>34059462.869999997</v>
      </c>
      <c r="F212">
        <v>24391721.370000001</v>
      </c>
      <c r="G212">
        <v>9667741.4999999963</v>
      </c>
      <c r="H212" s="1">
        <v>-5336480455.0600004</v>
      </c>
      <c r="I212">
        <v>-5336480.4550600005</v>
      </c>
      <c r="J212" s="52" t="e">
        <f>INDEX('Plano de Contas'!#REF!,MATCH(tbDez16[[#This Row],[Conta]],'Plano de Contas'!#REF!,0))</f>
        <v>#REF!</v>
      </c>
      <c r="K212" s="52" t="e">
        <f>INDEX('Plano de Contas'!#REF!,MATCH(tbDez16[[#This Row],[Conta]],'Plano de Contas'!#REF!,0))</f>
        <v>#REF!</v>
      </c>
      <c r="L212" t="e">
        <f>INDEX('Plano de Contas'!#REF!,MATCH(tbDez16[[#This Row],[Conta]],'Plano de Contas'!#REF!,0))</f>
        <v>#REF!</v>
      </c>
    </row>
    <row r="213" spans="1:12" x14ac:dyDescent="0.25">
      <c r="A213" t="s">
        <v>511</v>
      </c>
      <c r="B213" t="s">
        <v>1926</v>
      </c>
      <c r="C213" t="s">
        <v>1927</v>
      </c>
      <c r="D213">
        <v>-139534249.47</v>
      </c>
      <c r="E213">
        <v>31847773.030000001</v>
      </c>
      <c r="F213">
        <v>21527011.66</v>
      </c>
      <c r="G213">
        <v>10320761.370000001</v>
      </c>
      <c r="H213" s="1">
        <v>-129213488.09999999</v>
      </c>
      <c r="I213">
        <v>-129213.48809999999</v>
      </c>
      <c r="J213" s="52" t="e">
        <f>INDEX('Plano de Contas'!#REF!,MATCH(tbDez16[[#This Row],[Conta]],'Plano de Contas'!#REF!,0))</f>
        <v>#REF!</v>
      </c>
      <c r="K213" s="52" t="e">
        <f>INDEX('Plano de Contas'!#REF!,MATCH(tbDez16[[#This Row],[Conta]],'Plano de Contas'!#REF!,0))</f>
        <v>#REF!</v>
      </c>
      <c r="L213" t="e">
        <f>INDEX('Plano de Contas'!#REF!,MATCH(tbDez16[[#This Row],[Conta]],'Plano de Contas'!#REF!,0))</f>
        <v>#REF!</v>
      </c>
    </row>
    <row r="214" spans="1:12" x14ac:dyDescent="0.25">
      <c r="A214" t="s">
        <v>513</v>
      </c>
      <c r="B214" t="s">
        <v>1928</v>
      </c>
      <c r="C214" t="s">
        <v>1929</v>
      </c>
      <c r="D214">
        <v>-139534249.47</v>
      </c>
      <c r="E214">
        <v>31847773.030000001</v>
      </c>
      <c r="F214">
        <v>21527011.66</v>
      </c>
      <c r="G214">
        <v>10320761.370000001</v>
      </c>
      <c r="H214" s="1">
        <v>-129213488.09999999</v>
      </c>
      <c r="I214">
        <v>-129213.48809999999</v>
      </c>
      <c r="J214" s="52" t="e">
        <f>INDEX('Plano de Contas'!#REF!,MATCH(tbDez16[[#This Row],[Conta]],'Plano de Contas'!#REF!,0))</f>
        <v>#REF!</v>
      </c>
      <c r="K214" s="52" t="e">
        <f>INDEX('Plano de Contas'!#REF!,MATCH(tbDez16[[#This Row],[Conta]],'Plano de Contas'!#REF!,0))</f>
        <v>#REF!</v>
      </c>
      <c r="L214" t="e">
        <f>INDEX('Plano de Contas'!#REF!,MATCH(tbDez16[[#This Row],[Conta]],'Plano de Contas'!#REF!,0))</f>
        <v>#REF!</v>
      </c>
    </row>
    <row r="215" spans="1:12" x14ac:dyDescent="0.25">
      <c r="A215" t="s">
        <v>515</v>
      </c>
      <c r="B215" t="s">
        <v>1930</v>
      </c>
      <c r="C215" t="s">
        <v>1931</v>
      </c>
      <c r="D215">
        <v>-114819244.65000001</v>
      </c>
      <c r="E215">
        <v>9791945.7200000007</v>
      </c>
      <c r="F215">
        <v>10346150.539999999</v>
      </c>
      <c r="G215">
        <v>-554204.81999999844</v>
      </c>
      <c r="H215" s="1">
        <v>-115373449.47</v>
      </c>
      <c r="I215">
        <v>-115373.44946999999</v>
      </c>
      <c r="J215" s="52" t="e">
        <f>INDEX('Plano de Contas'!#REF!,MATCH(tbDez16[[#This Row],[Conta]],'Plano de Contas'!#REF!,0))</f>
        <v>#REF!</v>
      </c>
      <c r="K215" s="52" t="e">
        <f>INDEX('Plano de Contas'!#REF!,MATCH(tbDez16[[#This Row],[Conta]],'Plano de Contas'!#REF!,0))</f>
        <v>#REF!</v>
      </c>
      <c r="L215" t="e">
        <f>INDEX('Plano de Contas'!#REF!,MATCH(tbDez16[[#This Row],[Conta]],'Plano de Contas'!#REF!,0))</f>
        <v>#REF!</v>
      </c>
    </row>
    <row r="216" spans="1:12" x14ac:dyDescent="0.25">
      <c r="A216" t="s">
        <v>517</v>
      </c>
      <c r="B216" t="s">
        <v>1932</v>
      </c>
      <c r="C216" t="s">
        <v>1933</v>
      </c>
      <c r="D216">
        <v>-168062.31</v>
      </c>
      <c r="E216">
        <v>203832.59</v>
      </c>
      <c r="F216">
        <v>75893.36</v>
      </c>
      <c r="G216">
        <v>127939.23</v>
      </c>
      <c r="H216" s="1">
        <v>-40123.08</v>
      </c>
      <c r="I216">
        <v>-40.123080000000002</v>
      </c>
      <c r="J216" s="52" t="e">
        <f>INDEX('Plano de Contas'!#REF!,MATCH(tbDez16[[#This Row],[Conta]],'Plano de Contas'!#REF!,0))</f>
        <v>#REF!</v>
      </c>
      <c r="K216" s="52" t="e">
        <f>INDEX('Plano de Contas'!#REF!,MATCH(tbDez16[[#This Row],[Conta]],'Plano de Contas'!#REF!,0))</f>
        <v>#REF!</v>
      </c>
      <c r="L216" t="e">
        <f>INDEX('Plano de Contas'!#REF!,MATCH(tbDez16[[#This Row],[Conta]],'Plano de Contas'!#REF!,0))</f>
        <v>#REF!</v>
      </c>
    </row>
    <row r="217" spans="1:12" x14ac:dyDescent="0.25">
      <c r="A217" t="s">
        <v>521</v>
      </c>
      <c r="B217" t="s">
        <v>1934</v>
      </c>
      <c r="C217" t="s">
        <v>1935</v>
      </c>
      <c r="D217">
        <v>-114643422.14</v>
      </c>
      <c r="E217">
        <v>9588113.1300000008</v>
      </c>
      <c r="F217">
        <v>10270257.18</v>
      </c>
      <c r="G217">
        <v>-682144.04999999888</v>
      </c>
      <c r="H217" s="1">
        <v>-115325566.19</v>
      </c>
      <c r="I217">
        <v>-115325.56619</v>
      </c>
      <c r="J217" s="52" t="e">
        <f>INDEX('Plano de Contas'!#REF!,MATCH(tbDez16[[#This Row],[Conta]],'Plano de Contas'!#REF!,0))</f>
        <v>#REF!</v>
      </c>
      <c r="K217" s="52" t="e">
        <f>INDEX('Plano de Contas'!#REF!,MATCH(tbDez16[[#This Row],[Conta]],'Plano de Contas'!#REF!,0))</f>
        <v>#REF!</v>
      </c>
      <c r="L217" t="e">
        <f>INDEX('Plano de Contas'!#REF!,MATCH(tbDez16[[#This Row],[Conta]],'Plano de Contas'!#REF!,0))</f>
        <v>#REF!</v>
      </c>
    </row>
    <row r="218" spans="1:12" x14ac:dyDescent="0.25">
      <c r="A218" t="s">
        <v>523</v>
      </c>
      <c r="B218" t="s">
        <v>1936</v>
      </c>
      <c r="C218" t="s">
        <v>1937</v>
      </c>
      <c r="D218">
        <v>-7760.2</v>
      </c>
      <c r="E218">
        <v>0</v>
      </c>
      <c r="F218">
        <v>0</v>
      </c>
      <c r="G218">
        <v>0</v>
      </c>
      <c r="H218" s="1">
        <v>-7760.2</v>
      </c>
      <c r="I218">
        <v>-7.7602000000000002</v>
      </c>
      <c r="J218" s="52" t="e">
        <f>INDEX('Plano de Contas'!#REF!,MATCH(tbDez16[[#This Row],[Conta]],'Plano de Contas'!#REF!,0))</f>
        <v>#REF!</v>
      </c>
      <c r="K218" s="52" t="e">
        <f>INDEX('Plano de Contas'!#REF!,MATCH(tbDez16[[#This Row],[Conta]],'Plano de Contas'!#REF!,0))</f>
        <v>#REF!</v>
      </c>
      <c r="L218" t="e">
        <f>INDEX('Plano de Contas'!#REF!,MATCH(tbDez16[[#This Row],[Conta]],'Plano de Contas'!#REF!,0))</f>
        <v>#REF!</v>
      </c>
    </row>
    <row r="219" spans="1:12" x14ac:dyDescent="0.25">
      <c r="A219" t="s">
        <v>525</v>
      </c>
      <c r="B219" t="s">
        <v>1938</v>
      </c>
      <c r="C219" t="s">
        <v>1939</v>
      </c>
      <c r="D219">
        <v>-946.95</v>
      </c>
      <c r="E219">
        <v>2331973.4300000002</v>
      </c>
      <c r="F219">
        <v>2331982.83</v>
      </c>
      <c r="G219">
        <v>-9.3999999999068677</v>
      </c>
      <c r="H219" s="1">
        <v>-956.35</v>
      </c>
      <c r="I219">
        <v>-0.95635000000000003</v>
      </c>
      <c r="J219" s="52" t="e">
        <f>INDEX('Plano de Contas'!#REF!,MATCH(tbDez16[[#This Row],[Conta]],'Plano de Contas'!#REF!,0))</f>
        <v>#REF!</v>
      </c>
      <c r="K219" s="52" t="e">
        <f>INDEX('Plano de Contas'!#REF!,MATCH(tbDez16[[#This Row],[Conta]],'Plano de Contas'!#REF!,0))</f>
        <v>#REF!</v>
      </c>
      <c r="L219" t="e">
        <f>INDEX('Plano de Contas'!#REF!,MATCH(tbDez16[[#This Row],[Conta]],'Plano de Contas'!#REF!,0))</f>
        <v>#REF!</v>
      </c>
    </row>
    <row r="220" spans="1:12" x14ac:dyDescent="0.25">
      <c r="A220" t="s">
        <v>527</v>
      </c>
      <c r="B220" t="s">
        <v>1940</v>
      </c>
      <c r="C220" t="s">
        <v>1941</v>
      </c>
      <c r="D220">
        <v>0</v>
      </c>
      <c r="E220">
        <v>1490251.54</v>
      </c>
      <c r="F220">
        <v>1490251.54</v>
      </c>
      <c r="G220">
        <v>0</v>
      </c>
      <c r="H220" s="1">
        <v>0</v>
      </c>
      <c r="I220">
        <v>0</v>
      </c>
      <c r="J220" s="52" t="e">
        <f>INDEX('Plano de Contas'!#REF!,MATCH(tbDez16[[#This Row],[Conta]],'Plano de Contas'!#REF!,0))</f>
        <v>#REF!</v>
      </c>
      <c r="K220" s="52" t="e">
        <f>INDEX('Plano de Contas'!#REF!,MATCH(tbDez16[[#This Row],[Conta]],'Plano de Contas'!#REF!,0))</f>
        <v>#REF!</v>
      </c>
      <c r="L220" t="e">
        <f>INDEX('Plano de Contas'!#REF!,MATCH(tbDez16[[#This Row],[Conta]],'Plano de Contas'!#REF!,0))</f>
        <v>#REF!</v>
      </c>
    </row>
    <row r="221" spans="1:12" x14ac:dyDescent="0.25">
      <c r="A221" t="s">
        <v>529</v>
      </c>
      <c r="B221" t="s">
        <v>1942</v>
      </c>
      <c r="C221" t="s">
        <v>1943</v>
      </c>
      <c r="D221">
        <v>0</v>
      </c>
      <c r="E221">
        <v>768263.6</v>
      </c>
      <c r="F221">
        <v>768263.6</v>
      </c>
      <c r="G221">
        <v>0</v>
      </c>
      <c r="H221" s="1">
        <v>0</v>
      </c>
      <c r="I221">
        <v>0</v>
      </c>
      <c r="J221" s="52" t="e">
        <f>INDEX('Plano de Contas'!#REF!,MATCH(tbDez16[[#This Row],[Conta]],'Plano de Contas'!#REF!,0))</f>
        <v>#REF!</v>
      </c>
      <c r="K221" s="52" t="e">
        <f>INDEX('Plano de Contas'!#REF!,MATCH(tbDez16[[#This Row],[Conta]],'Plano de Contas'!#REF!,0))</f>
        <v>#REF!</v>
      </c>
      <c r="L221" t="e">
        <f>INDEX('Plano de Contas'!#REF!,MATCH(tbDez16[[#This Row],[Conta]],'Plano de Contas'!#REF!,0))</f>
        <v>#REF!</v>
      </c>
    </row>
    <row r="222" spans="1:12" x14ac:dyDescent="0.25">
      <c r="A222" t="s">
        <v>531</v>
      </c>
      <c r="B222" t="s">
        <v>1944</v>
      </c>
      <c r="C222" t="s">
        <v>1945</v>
      </c>
      <c r="D222">
        <v>-298.3</v>
      </c>
      <c r="E222">
        <v>0</v>
      </c>
      <c r="F222">
        <v>0</v>
      </c>
      <c r="G222">
        <v>0</v>
      </c>
      <c r="H222" s="1">
        <v>-298.3</v>
      </c>
      <c r="I222">
        <v>-0.29830000000000001</v>
      </c>
      <c r="J222" s="52" t="e">
        <f>INDEX('Plano de Contas'!#REF!,MATCH(tbDez16[[#This Row],[Conta]],'Plano de Contas'!#REF!,0))</f>
        <v>#REF!</v>
      </c>
      <c r="K222" s="52" t="e">
        <f>INDEX('Plano de Contas'!#REF!,MATCH(tbDez16[[#This Row],[Conta]],'Plano de Contas'!#REF!,0))</f>
        <v>#REF!</v>
      </c>
      <c r="L222" t="e">
        <f>INDEX('Plano de Contas'!#REF!,MATCH(tbDez16[[#This Row],[Conta]],'Plano de Contas'!#REF!,0))</f>
        <v>#REF!</v>
      </c>
    </row>
    <row r="223" spans="1:12" x14ac:dyDescent="0.25">
      <c r="A223" t="s">
        <v>533</v>
      </c>
      <c r="B223" t="s">
        <v>1946</v>
      </c>
      <c r="C223" t="s">
        <v>1947</v>
      </c>
      <c r="D223">
        <v>-182.04</v>
      </c>
      <c r="E223">
        <v>48007.72</v>
      </c>
      <c r="F223">
        <v>48016.72</v>
      </c>
      <c r="G223">
        <v>-9</v>
      </c>
      <c r="H223" s="1">
        <v>-191.04</v>
      </c>
      <c r="I223">
        <v>-0.19103999999999999</v>
      </c>
      <c r="J223" s="52" t="e">
        <f>INDEX('Plano de Contas'!#REF!,MATCH(tbDez16[[#This Row],[Conta]],'Plano de Contas'!#REF!,0))</f>
        <v>#REF!</v>
      </c>
      <c r="K223" s="52" t="e">
        <f>INDEX('Plano de Contas'!#REF!,MATCH(tbDez16[[#This Row],[Conta]],'Plano de Contas'!#REF!,0))</f>
        <v>#REF!</v>
      </c>
      <c r="L223" t="e">
        <f>INDEX('Plano de Contas'!#REF!,MATCH(tbDez16[[#This Row],[Conta]],'Plano de Contas'!#REF!,0))</f>
        <v>#REF!</v>
      </c>
    </row>
    <row r="224" spans="1:12" x14ac:dyDescent="0.25">
      <c r="A224" t="s">
        <v>535</v>
      </c>
      <c r="B224" t="s">
        <v>1948</v>
      </c>
      <c r="C224" t="s">
        <v>1949</v>
      </c>
      <c r="D224">
        <v>-466.61</v>
      </c>
      <c r="E224">
        <v>25450.57</v>
      </c>
      <c r="F224">
        <v>25450.97</v>
      </c>
      <c r="G224">
        <v>-0.40000000000145519</v>
      </c>
      <c r="H224" s="1">
        <v>-467.01</v>
      </c>
      <c r="I224">
        <v>-0.46700999999999998</v>
      </c>
      <c r="J224" s="52" t="e">
        <f>INDEX('Plano de Contas'!#REF!,MATCH(tbDez16[[#This Row],[Conta]],'Plano de Contas'!#REF!,0))</f>
        <v>#REF!</v>
      </c>
      <c r="K224" s="52" t="e">
        <f>INDEX('Plano de Contas'!#REF!,MATCH(tbDez16[[#This Row],[Conta]],'Plano de Contas'!#REF!,0))</f>
        <v>#REF!</v>
      </c>
      <c r="L224" t="e">
        <f>INDEX('Plano de Contas'!#REF!,MATCH(tbDez16[[#This Row],[Conta]],'Plano de Contas'!#REF!,0))</f>
        <v>#REF!</v>
      </c>
    </row>
    <row r="225" spans="1:12" x14ac:dyDescent="0.25">
      <c r="A225" t="s">
        <v>537</v>
      </c>
      <c r="B225" t="s">
        <v>1950</v>
      </c>
      <c r="C225" t="s">
        <v>1951</v>
      </c>
      <c r="D225">
        <v>-1212840.0900000001</v>
      </c>
      <c r="E225">
        <v>2084531.66</v>
      </c>
      <c r="F225">
        <v>2092422.04</v>
      </c>
      <c r="G225">
        <v>-7890.3800000001211</v>
      </c>
      <c r="H225" s="1">
        <v>-1220730.47</v>
      </c>
      <c r="I225">
        <v>-1220.73047</v>
      </c>
      <c r="J225" s="52" t="e">
        <f>INDEX('Plano de Contas'!#REF!,MATCH(tbDez16[[#This Row],[Conta]],'Plano de Contas'!#REF!,0))</f>
        <v>#REF!</v>
      </c>
      <c r="K225" s="52" t="e">
        <f>INDEX('Plano de Contas'!#REF!,MATCH(tbDez16[[#This Row],[Conta]],'Plano de Contas'!#REF!,0))</f>
        <v>#REF!</v>
      </c>
      <c r="L225" t="e">
        <f>INDEX('Plano de Contas'!#REF!,MATCH(tbDez16[[#This Row],[Conta]],'Plano de Contas'!#REF!,0))</f>
        <v>#REF!</v>
      </c>
    </row>
    <row r="226" spans="1:12" x14ac:dyDescent="0.25">
      <c r="A226" t="s">
        <v>539</v>
      </c>
      <c r="B226" t="s">
        <v>1952</v>
      </c>
      <c r="C226" t="s">
        <v>1953</v>
      </c>
      <c r="D226">
        <v>-1039819.22</v>
      </c>
      <c r="E226">
        <v>1841368.45</v>
      </c>
      <c r="F226">
        <v>1754981.24</v>
      </c>
      <c r="G226">
        <v>86387.209999999963</v>
      </c>
      <c r="H226" s="1">
        <v>-953432.01</v>
      </c>
      <c r="I226">
        <v>-953.43200999999999</v>
      </c>
      <c r="J226" s="52" t="e">
        <f>INDEX('Plano de Contas'!#REF!,MATCH(tbDez16[[#This Row],[Conta]],'Plano de Contas'!#REF!,0))</f>
        <v>#REF!</v>
      </c>
      <c r="K226" s="52" t="e">
        <f>INDEX('Plano de Contas'!#REF!,MATCH(tbDez16[[#This Row],[Conta]],'Plano de Contas'!#REF!,0))</f>
        <v>#REF!</v>
      </c>
      <c r="L226" t="e">
        <f>INDEX('Plano de Contas'!#REF!,MATCH(tbDez16[[#This Row],[Conta]],'Plano de Contas'!#REF!,0))</f>
        <v>#REF!</v>
      </c>
    </row>
    <row r="227" spans="1:12" x14ac:dyDescent="0.25">
      <c r="A227" t="s">
        <v>541</v>
      </c>
      <c r="B227" t="s">
        <v>1954</v>
      </c>
      <c r="C227" t="s">
        <v>1955</v>
      </c>
      <c r="D227">
        <v>-173020.87</v>
      </c>
      <c r="E227">
        <v>243163.21</v>
      </c>
      <c r="F227">
        <v>337440.8</v>
      </c>
      <c r="G227">
        <v>-94277.59</v>
      </c>
      <c r="H227" s="1">
        <v>-267298.46000000002</v>
      </c>
      <c r="I227">
        <v>-267.29846000000003</v>
      </c>
      <c r="J227" s="52" t="e">
        <f>INDEX('Plano de Contas'!#REF!,MATCH(tbDez16[[#This Row],[Conta]],'Plano de Contas'!#REF!,0))</f>
        <v>#REF!</v>
      </c>
      <c r="K227" s="52" t="e">
        <f>INDEX('Plano de Contas'!#REF!,MATCH(tbDez16[[#This Row],[Conta]],'Plano de Contas'!#REF!,0))</f>
        <v>#REF!</v>
      </c>
      <c r="L227" t="e">
        <f>INDEX('Plano de Contas'!#REF!,MATCH(tbDez16[[#This Row],[Conta]],'Plano de Contas'!#REF!,0))</f>
        <v>#REF!</v>
      </c>
    </row>
    <row r="228" spans="1:12" x14ac:dyDescent="0.25">
      <c r="A228" t="s">
        <v>543</v>
      </c>
      <c r="B228" t="s">
        <v>1956</v>
      </c>
      <c r="C228" t="s">
        <v>1957</v>
      </c>
      <c r="D228">
        <v>-2806418.91</v>
      </c>
      <c r="E228">
        <v>2761791.57</v>
      </c>
      <c r="F228">
        <v>4096748.62</v>
      </c>
      <c r="G228">
        <v>-1334957.0500000003</v>
      </c>
      <c r="H228" s="1">
        <v>-4141375.96</v>
      </c>
      <c r="I228">
        <v>-4141.3759600000003</v>
      </c>
      <c r="J228" s="52" t="e">
        <f>INDEX('Plano de Contas'!#REF!,MATCH(tbDez16[[#This Row],[Conta]],'Plano de Contas'!#REF!,0))</f>
        <v>#REF!</v>
      </c>
      <c r="K228" s="52" t="e">
        <f>INDEX('Plano de Contas'!#REF!,MATCH(tbDez16[[#This Row],[Conta]],'Plano de Contas'!#REF!,0))</f>
        <v>#REF!</v>
      </c>
      <c r="L228" t="e">
        <f>INDEX('Plano de Contas'!#REF!,MATCH(tbDez16[[#This Row],[Conta]],'Plano de Contas'!#REF!,0))</f>
        <v>#REF!</v>
      </c>
    </row>
    <row r="229" spans="1:12" x14ac:dyDescent="0.25">
      <c r="A229" t="s">
        <v>545</v>
      </c>
      <c r="B229" t="s">
        <v>1958</v>
      </c>
      <c r="C229" t="s">
        <v>1959</v>
      </c>
      <c r="D229">
        <v>-64616.72</v>
      </c>
      <c r="E229">
        <v>44724</v>
      </c>
      <c r="F229">
        <v>53254.16</v>
      </c>
      <c r="G229">
        <v>-8530.1600000000035</v>
      </c>
      <c r="H229" s="1">
        <v>-73146.880000000005</v>
      </c>
      <c r="I229">
        <v>-73.14688000000001</v>
      </c>
      <c r="J229" s="52" t="e">
        <f>INDEX('Plano de Contas'!#REF!,MATCH(tbDez16[[#This Row],[Conta]],'Plano de Contas'!#REF!,0))</f>
        <v>#REF!</v>
      </c>
      <c r="K229" s="52" t="e">
        <f>INDEX('Plano de Contas'!#REF!,MATCH(tbDez16[[#This Row],[Conta]],'Plano de Contas'!#REF!,0))</f>
        <v>#REF!</v>
      </c>
      <c r="L229" t="e">
        <f>INDEX('Plano de Contas'!#REF!,MATCH(tbDez16[[#This Row],[Conta]],'Plano de Contas'!#REF!,0))</f>
        <v>#REF!</v>
      </c>
    </row>
    <row r="230" spans="1:12" x14ac:dyDescent="0.25">
      <c r="A230" t="s">
        <v>547</v>
      </c>
      <c r="B230" t="s">
        <v>1960</v>
      </c>
      <c r="C230" t="s">
        <v>1961</v>
      </c>
      <c r="D230">
        <v>-144.41999999999999</v>
      </c>
      <c r="E230">
        <v>0</v>
      </c>
      <c r="F230">
        <v>0</v>
      </c>
      <c r="G230">
        <v>0</v>
      </c>
      <c r="H230" s="1">
        <v>-144.41999999999999</v>
      </c>
      <c r="I230">
        <v>-0.14441999999999999</v>
      </c>
      <c r="J230" s="52" t="e">
        <f>INDEX('Plano de Contas'!#REF!,MATCH(tbDez16[[#This Row],[Conta]],'Plano de Contas'!#REF!,0))</f>
        <v>#REF!</v>
      </c>
      <c r="K230" s="52" t="e">
        <f>INDEX('Plano de Contas'!#REF!,MATCH(tbDez16[[#This Row],[Conta]],'Plano de Contas'!#REF!,0))</f>
        <v>#REF!</v>
      </c>
      <c r="L230" t="e">
        <f>INDEX('Plano de Contas'!#REF!,MATCH(tbDez16[[#This Row],[Conta]],'Plano de Contas'!#REF!,0))</f>
        <v>#REF!</v>
      </c>
    </row>
    <row r="231" spans="1:12" x14ac:dyDescent="0.25">
      <c r="A231" t="s">
        <v>549</v>
      </c>
      <c r="B231" t="s">
        <v>1962</v>
      </c>
      <c r="C231" t="s">
        <v>1963</v>
      </c>
      <c r="D231">
        <v>-345954.68</v>
      </c>
      <c r="E231">
        <v>318813.67</v>
      </c>
      <c r="F231">
        <v>640935.93000000005</v>
      </c>
      <c r="G231">
        <v>-322122.26000000007</v>
      </c>
      <c r="H231" s="1">
        <v>-668076.93999999994</v>
      </c>
      <c r="I231">
        <v>-668.07693999999992</v>
      </c>
      <c r="J231" s="52" t="e">
        <f>INDEX('Plano de Contas'!#REF!,MATCH(tbDez16[[#This Row],[Conta]],'Plano de Contas'!#REF!,0))</f>
        <v>#REF!</v>
      </c>
      <c r="K231" s="52" t="e">
        <f>INDEX('Plano de Contas'!#REF!,MATCH(tbDez16[[#This Row],[Conta]],'Plano de Contas'!#REF!,0))</f>
        <v>#REF!</v>
      </c>
      <c r="L231" t="e">
        <f>INDEX('Plano de Contas'!#REF!,MATCH(tbDez16[[#This Row],[Conta]],'Plano de Contas'!#REF!,0))</f>
        <v>#REF!</v>
      </c>
    </row>
    <row r="232" spans="1:12" x14ac:dyDescent="0.25">
      <c r="A232" t="s">
        <v>551</v>
      </c>
      <c r="B232" t="s">
        <v>1964</v>
      </c>
      <c r="C232" t="s">
        <v>1965</v>
      </c>
      <c r="D232">
        <v>-215450.82</v>
      </c>
      <c r="E232">
        <v>225438.03</v>
      </c>
      <c r="F232">
        <v>260238.65</v>
      </c>
      <c r="G232">
        <v>-34800.619999999995</v>
      </c>
      <c r="H232" s="1">
        <v>-250251.44</v>
      </c>
      <c r="I232">
        <v>-250.25144</v>
      </c>
      <c r="J232" s="52" t="e">
        <f>INDEX('Plano de Contas'!#REF!,MATCH(tbDez16[[#This Row],[Conta]],'Plano de Contas'!#REF!,0))</f>
        <v>#REF!</v>
      </c>
      <c r="K232" s="52" t="e">
        <f>INDEX('Plano de Contas'!#REF!,MATCH(tbDez16[[#This Row],[Conta]],'Plano de Contas'!#REF!,0))</f>
        <v>#REF!</v>
      </c>
      <c r="L232" t="e">
        <f>INDEX('Plano de Contas'!#REF!,MATCH(tbDez16[[#This Row],[Conta]],'Plano de Contas'!#REF!,0))</f>
        <v>#REF!</v>
      </c>
    </row>
    <row r="233" spans="1:12" x14ac:dyDescent="0.25">
      <c r="A233" t="s">
        <v>553</v>
      </c>
      <c r="B233" t="s">
        <v>1966</v>
      </c>
      <c r="C233" t="s">
        <v>1967</v>
      </c>
      <c r="D233">
        <v>-994784.26</v>
      </c>
      <c r="E233">
        <v>1040519.13</v>
      </c>
      <c r="F233">
        <v>1225469.03</v>
      </c>
      <c r="G233">
        <v>-184949.90000000002</v>
      </c>
      <c r="H233" s="1">
        <v>-1179734.1599999999</v>
      </c>
      <c r="I233">
        <v>-1179.73416</v>
      </c>
      <c r="J233" s="52" t="e">
        <f>INDEX('Plano de Contas'!#REF!,MATCH(tbDez16[[#This Row],[Conta]],'Plano de Contas'!#REF!,0))</f>
        <v>#REF!</v>
      </c>
      <c r="K233" s="52" t="e">
        <f>INDEX('Plano de Contas'!#REF!,MATCH(tbDez16[[#This Row],[Conta]],'Plano de Contas'!#REF!,0))</f>
        <v>#REF!</v>
      </c>
      <c r="L233" t="e">
        <f>INDEX('Plano de Contas'!#REF!,MATCH(tbDez16[[#This Row],[Conta]],'Plano de Contas'!#REF!,0))</f>
        <v>#REF!</v>
      </c>
    </row>
    <row r="234" spans="1:12" x14ac:dyDescent="0.25">
      <c r="A234" t="s">
        <v>555</v>
      </c>
      <c r="B234" t="s">
        <v>1968</v>
      </c>
      <c r="C234" t="s">
        <v>1969</v>
      </c>
      <c r="D234">
        <v>-149824.82</v>
      </c>
      <c r="E234">
        <v>133667.75</v>
      </c>
      <c r="F234">
        <v>336932.41</v>
      </c>
      <c r="G234">
        <v>-203264.65999999997</v>
      </c>
      <c r="H234" s="1">
        <v>-353089.48</v>
      </c>
      <c r="I234">
        <v>-353.08947999999998</v>
      </c>
      <c r="J234" s="52" t="e">
        <f>INDEX('Plano de Contas'!#REF!,MATCH(tbDez16[[#This Row],[Conta]],'Plano de Contas'!#REF!,0))</f>
        <v>#REF!</v>
      </c>
      <c r="K234" s="52" t="e">
        <f>INDEX('Plano de Contas'!#REF!,MATCH(tbDez16[[#This Row],[Conta]],'Plano de Contas'!#REF!,0))</f>
        <v>#REF!</v>
      </c>
      <c r="L234" t="e">
        <f>INDEX('Plano de Contas'!#REF!,MATCH(tbDez16[[#This Row],[Conta]],'Plano de Contas'!#REF!,0))</f>
        <v>#REF!</v>
      </c>
    </row>
    <row r="235" spans="1:12" x14ac:dyDescent="0.25">
      <c r="A235" t="s">
        <v>557</v>
      </c>
      <c r="B235" t="s">
        <v>1970</v>
      </c>
      <c r="C235" t="s">
        <v>1971</v>
      </c>
      <c r="D235">
        <v>-314465.87</v>
      </c>
      <c r="E235">
        <v>343192.63</v>
      </c>
      <c r="F235">
        <v>376894.59</v>
      </c>
      <c r="G235">
        <v>-33701.960000000021</v>
      </c>
      <c r="H235" s="1">
        <v>-348167.83</v>
      </c>
      <c r="I235">
        <v>-348.16783000000004</v>
      </c>
      <c r="J235" s="52" t="e">
        <f>INDEX('Plano de Contas'!#REF!,MATCH(tbDez16[[#This Row],[Conta]],'Plano de Contas'!#REF!,0))</f>
        <v>#REF!</v>
      </c>
      <c r="K235" s="52" t="e">
        <f>INDEX('Plano de Contas'!#REF!,MATCH(tbDez16[[#This Row],[Conta]],'Plano de Contas'!#REF!,0))</f>
        <v>#REF!</v>
      </c>
      <c r="L235" t="e">
        <f>INDEX('Plano de Contas'!#REF!,MATCH(tbDez16[[#This Row],[Conta]],'Plano de Contas'!#REF!,0))</f>
        <v>#REF!</v>
      </c>
    </row>
    <row r="236" spans="1:12" x14ac:dyDescent="0.25">
      <c r="A236" t="s">
        <v>559</v>
      </c>
      <c r="B236" t="s">
        <v>1972</v>
      </c>
      <c r="C236" t="s">
        <v>1973</v>
      </c>
      <c r="D236">
        <v>-280653.53999999998</v>
      </c>
      <c r="E236">
        <v>280653.53999999998</v>
      </c>
      <c r="F236">
        <v>0</v>
      </c>
      <c r="G236">
        <v>280653.53999999998</v>
      </c>
      <c r="H236" s="1">
        <v>0</v>
      </c>
      <c r="I236">
        <v>0</v>
      </c>
      <c r="J236" s="52" t="e">
        <f>INDEX('Plano de Contas'!#REF!,MATCH(tbDez16[[#This Row],[Conta]],'Plano de Contas'!#REF!,0))</f>
        <v>#REF!</v>
      </c>
      <c r="K236" s="52" t="e">
        <f>INDEX('Plano de Contas'!#REF!,MATCH(tbDez16[[#This Row],[Conta]],'Plano de Contas'!#REF!,0))</f>
        <v>#REF!</v>
      </c>
      <c r="L236" t="e">
        <f>INDEX('Plano de Contas'!#REF!,MATCH(tbDez16[[#This Row],[Conta]],'Plano de Contas'!#REF!,0))</f>
        <v>#REF!</v>
      </c>
    </row>
    <row r="237" spans="1:12" x14ac:dyDescent="0.25">
      <c r="A237" t="s">
        <v>561</v>
      </c>
      <c r="B237" t="s">
        <v>1974</v>
      </c>
      <c r="C237" t="s">
        <v>1975</v>
      </c>
      <c r="D237">
        <v>-198782.09</v>
      </c>
      <c r="E237">
        <v>198782.09</v>
      </c>
      <c r="F237">
        <v>0</v>
      </c>
      <c r="G237">
        <v>198782.09</v>
      </c>
      <c r="H237" s="1">
        <v>0</v>
      </c>
      <c r="I237">
        <v>0</v>
      </c>
      <c r="J237" s="52" t="e">
        <f>INDEX('Plano de Contas'!#REF!,MATCH(tbDez16[[#This Row],[Conta]],'Plano de Contas'!#REF!,0))</f>
        <v>#REF!</v>
      </c>
      <c r="K237" s="52" t="e">
        <f>INDEX('Plano de Contas'!#REF!,MATCH(tbDez16[[#This Row],[Conta]],'Plano de Contas'!#REF!,0))</f>
        <v>#REF!</v>
      </c>
      <c r="L237" t="e">
        <f>INDEX('Plano de Contas'!#REF!,MATCH(tbDez16[[#This Row],[Conta]],'Plano de Contas'!#REF!,0))</f>
        <v>#REF!</v>
      </c>
    </row>
    <row r="238" spans="1:12" x14ac:dyDescent="0.25">
      <c r="A238" t="s">
        <v>563</v>
      </c>
      <c r="B238" t="s">
        <v>1976</v>
      </c>
      <c r="C238" t="s">
        <v>1977</v>
      </c>
      <c r="D238">
        <v>-750</v>
      </c>
      <c r="E238">
        <v>0</v>
      </c>
      <c r="F238">
        <v>0</v>
      </c>
      <c r="G238">
        <v>0</v>
      </c>
      <c r="H238" s="1">
        <v>-750</v>
      </c>
      <c r="I238">
        <v>-0.75</v>
      </c>
      <c r="J238" s="52" t="e">
        <f>INDEX('Plano de Contas'!#REF!,MATCH(tbDez16[[#This Row],[Conta]],'Plano de Contas'!#REF!,0))</f>
        <v>#REF!</v>
      </c>
      <c r="K238" s="52" t="e">
        <f>INDEX('Plano de Contas'!#REF!,MATCH(tbDez16[[#This Row],[Conta]],'Plano de Contas'!#REF!,0))</f>
        <v>#REF!</v>
      </c>
      <c r="L238" t="e">
        <f>INDEX('Plano de Contas'!#REF!,MATCH(tbDez16[[#This Row],[Conta]],'Plano de Contas'!#REF!,0))</f>
        <v>#REF!</v>
      </c>
    </row>
    <row r="239" spans="1:12" x14ac:dyDescent="0.25">
      <c r="A239" t="s">
        <v>565</v>
      </c>
      <c r="B239" t="s">
        <v>1978</v>
      </c>
      <c r="C239" t="s">
        <v>1979</v>
      </c>
      <c r="D239">
        <v>-163307.54</v>
      </c>
      <c r="E239">
        <v>176000.73</v>
      </c>
      <c r="F239">
        <v>203316.64</v>
      </c>
      <c r="G239">
        <v>-27315.910000000003</v>
      </c>
      <c r="H239" s="1">
        <v>-190623.45</v>
      </c>
      <c r="I239">
        <v>-190.62345000000002</v>
      </c>
      <c r="J239" s="52" t="e">
        <f>INDEX('Plano de Contas'!#REF!,MATCH(tbDez16[[#This Row],[Conta]],'Plano de Contas'!#REF!,0))</f>
        <v>#REF!</v>
      </c>
      <c r="K239" s="52" t="e">
        <f>INDEX('Plano de Contas'!#REF!,MATCH(tbDez16[[#This Row],[Conta]],'Plano de Contas'!#REF!,0))</f>
        <v>#REF!</v>
      </c>
      <c r="L239" t="e">
        <f>INDEX('Plano de Contas'!#REF!,MATCH(tbDez16[[#This Row],[Conta]],'Plano de Contas'!#REF!,0))</f>
        <v>#REF!</v>
      </c>
    </row>
    <row r="240" spans="1:12" x14ac:dyDescent="0.25">
      <c r="A240" t="s">
        <v>1189</v>
      </c>
      <c r="B240" t="s">
        <v>1980</v>
      </c>
      <c r="C240" t="s">
        <v>1981</v>
      </c>
      <c r="D240">
        <v>0</v>
      </c>
      <c r="E240">
        <v>0</v>
      </c>
      <c r="F240">
        <v>730242.23</v>
      </c>
      <c r="G240">
        <v>-730242.23</v>
      </c>
      <c r="H240" s="1">
        <v>-730242.23</v>
      </c>
      <c r="I240">
        <v>-730.24222999999995</v>
      </c>
      <c r="J240" s="52" t="e">
        <f>INDEX('Plano de Contas'!#REF!,MATCH(tbDez16[[#This Row],[Conta]],'Plano de Contas'!#REF!,0))</f>
        <v>#REF!</v>
      </c>
      <c r="K240" s="52" t="e">
        <f>INDEX('Plano de Contas'!#REF!,MATCH(tbDez16[[#This Row],[Conta]],'Plano de Contas'!#REF!,0))</f>
        <v>#REF!</v>
      </c>
      <c r="L240" t="e">
        <f>INDEX('Plano de Contas'!#REF!,MATCH(tbDez16[[#This Row],[Conta]],'Plano de Contas'!#REF!,0))</f>
        <v>#REF!</v>
      </c>
    </row>
    <row r="241" spans="1:12" x14ac:dyDescent="0.25">
      <c r="A241" t="s">
        <v>1191</v>
      </c>
      <c r="B241" t="s">
        <v>1982</v>
      </c>
      <c r="C241" t="s">
        <v>1983</v>
      </c>
      <c r="D241">
        <v>-77684.149999999994</v>
      </c>
      <c r="E241">
        <v>0</v>
      </c>
      <c r="F241">
        <v>269464.98</v>
      </c>
      <c r="G241">
        <v>-269464.98</v>
      </c>
      <c r="H241" s="1">
        <v>-347149.13</v>
      </c>
      <c r="I241">
        <v>-347.14913000000001</v>
      </c>
      <c r="J241" s="52" t="e">
        <f>INDEX('Plano de Contas'!#REF!,MATCH(tbDez16[[#This Row],[Conta]],'Plano de Contas'!#REF!,0))</f>
        <v>#REF!</v>
      </c>
      <c r="K241" s="52" t="e">
        <f>INDEX('Plano de Contas'!#REF!,MATCH(tbDez16[[#This Row],[Conta]],'Plano de Contas'!#REF!,0))</f>
        <v>#REF!</v>
      </c>
      <c r="L241" t="e">
        <f>INDEX('Plano de Contas'!#REF!,MATCH(tbDez16[[#This Row],[Conta]],'Plano de Contas'!#REF!,0))</f>
        <v>#REF!</v>
      </c>
    </row>
    <row r="242" spans="1:12" x14ac:dyDescent="0.25">
      <c r="A242" t="s">
        <v>571</v>
      </c>
      <c r="B242" t="s">
        <v>1984</v>
      </c>
      <c r="C242" t="s">
        <v>1985</v>
      </c>
      <c r="D242">
        <v>-16280323.130000001</v>
      </c>
      <c r="E242">
        <v>14709510.470000001</v>
      </c>
      <c r="F242">
        <v>2520232.02</v>
      </c>
      <c r="G242">
        <v>12189278.450000001</v>
      </c>
      <c r="H242" s="1">
        <v>-4091044.68</v>
      </c>
      <c r="I242">
        <v>-4091.04468</v>
      </c>
      <c r="J242" s="52" t="e">
        <f>INDEX('Plano de Contas'!#REF!,MATCH(tbDez16[[#This Row],[Conta]],'Plano de Contas'!#REF!,0))</f>
        <v>#REF!</v>
      </c>
      <c r="K242" s="52" t="e">
        <f>INDEX('Plano de Contas'!#REF!,MATCH(tbDez16[[#This Row],[Conta]],'Plano de Contas'!#REF!,0))</f>
        <v>#REF!</v>
      </c>
      <c r="L242" t="e">
        <f>INDEX('Plano de Contas'!#REF!,MATCH(tbDez16[[#This Row],[Conta]],'Plano de Contas'!#REF!,0))</f>
        <v>#REF!</v>
      </c>
    </row>
    <row r="243" spans="1:12" x14ac:dyDescent="0.25">
      <c r="A243" t="s">
        <v>573</v>
      </c>
      <c r="B243" t="s">
        <v>1986</v>
      </c>
      <c r="C243" t="s">
        <v>1987</v>
      </c>
      <c r="D243">
        <v>-2881733</v>
      </c>
      <c r="E243">
        <v>161663.5</v>
      </c>
      <c r="F243">
        <v>381881.27</v>
      </c>
      <c r="G243">
        <v>-220217.77000000002</v>
      </c>
      <c r="H243" s="1">
        <v>-3101950.77</v>
      </c>
      <c r="I243">
        <v>-3101.9507699999999</v>
      </c>
      <c r="J243" s="52" t="e">
        <f>INDEX('Plano de Contas'!#REF!,MATCH(tbDez16[[#This Row],[Conta]],'Plano de Contas'!#REF!,0))</f>
        <v>#REF!</v>
      </c>
      <c r="K243" s="52" t="e">
        <f>INDEX('Plano de Contas'!#REF!,MATCH(tbDez16[[#This Row],[Conta]],'Plano de Contas'!#REF!,0))</f>
        <v>#REF!</v>
      </c>
      <c r="L243" t="e">
        <f>INDEX('Plano de Contas'!#REF!,MATCH(tbDez16[[#This Row],[Conta]],'Plano de Contas'!#REF!,0))</f>
        <v>#REF!</v>
      </c>
    </row>
    <row r="244" spans="1:12" x14ac:dyDescent="0.25">
      <c r="A244" t="s">
        <v>575</v>
      </c>
      <c r="B244" t="s">
        <v>1988</v>
      </c>
      <c r="C244" t="s">
        <v>1989</v>
      </c>
      <c r="D244">
        <v>-697048.99</v>
      </c>
      <c r="E244">
        <v>30948.48</v>
      </c>
      <c r="F244">
        <v>104409.88</v>
      </c>
      <c r="G244">
        <v>-73461.400000000009</v>
      </c>
      <c r="H244" s="1">
        <v>-770510.39</v>
      </c>
      <c r="I244">
        <v>-770.51039000000003</v>
      </c>
      <c r="J244" s="52" t="e">
        <f>INDEX('Plano de Contas'!#REF!,MATCH(tbDez16[[#This Row],[Conta]],'Plano de Contas'!#REF!,0))</f>
        <v>#REF!</v>
      </c>
      <c r="K244" s="52" t="e">
        <f>INDEX('Plano de Contas'!#REF!,MATCH(tbDez16[[#This Row],[Conta]],'Plano de Contas'!#REF!,0))</f>
        <v>#REF!</v>
      </c>
      <c r="L244" t="e">
        <f>INDEX('Plano de Contas'!#REF!,MATCH(tbDez16[[#This Row],[Conta]],'Plano de Contas'!#REF!,0))</f>
        <v>#REF!</v>
      </c>
    </row>
    <row r="245" spans="1:12" x14ac:dyDescent="0.25">
      <c r="A245" t="s">
        <v>577</v>
      </c>
      <c r="B245" t="s">
        <v>1990</v>
      </c>
      <c r="C245" t="s">
        <v>1991</v>
      </c>
      <c r="D245">
        <v>-196919.99</v>
      </c>
      <c r="E245">
        <v>9284.94</v>
      </c>
      <c r="F245">
        <v>30948.47</v>
      </c>
      <c r="G245">
        <v>-21663.53</v>
      </c>
      <c r="H245" s="1">
        <v>-218583.52</v>
      </c>
      <c r="I245">
        <v>-218.58351999999999</v>
      </c>
      <c r="J245" s="52" t="e">
        <f>INDEX('Plano de Contas'!#REF!,MATCH(tbDez16[[#This Row],[Conta]],'Plano de Contas'!#REF!,0))</f>
        <v>#REF!</v>
      </c>
      <c r="K245" s="52" t="e">
        <f>INDEX('Plano de Contas'!#REF!,MATCH(tbDez16[[#This Row],[Conta]],'Plano de Contas'!#REF!,0))</f>
        <v>#REF!</v>
      </c>
      <c r="L245" t="e">
        <f>INDEX('Plano de Contas'!#REF!,MATCH(tbDez16[[#This Row],[Conta]],'Plano de Contas'!#REF!,0))</f>
        <v>#REF!</v>
      </c>
    </row>
    <row r="246" spans="1:12" x14ac:dyDescent="0.25">
      <c r="A246" t="s">
        <v>579</v>
      </c>
      <c r="B246" t="s">
        <v>1992</v>
      </c>
      <c r="C246" t="s">
        <v>1993</v>
      </c>
      <c r="D246">
        <v>-1802209.05</v>
      </c>
      <c r="E246">
        <v>2060033.04</v>
      </c>
      <c r="F246">
        <v>257823.99</v>
      </c>
      <c r="G246">
        <v>1802209.05</v>
      </c>
      <c r="H246" s="1">
        <v>0</v>
      </c>
      <c r="I246">
        <v>0</v>
      </c>
      <c r="J246" s="52" t="e">
        <f>INDEX('Plano de Contas'!#REF!,MATCH(tbDez16[[#This Row],[Conta]],'Plano de Contas'!#REF!,0))</f>
        <v>#REF!</v>
      </c>
      <c r="K246" s="52" t="e">
        <f>INDEX('Plano de Contas'!#REF!,MATCH(tbDez16[[#This Row],[Conta]],'Plano de Contas'!#REF!,0))</f>
        <v>#REF!</v>
      </c>
      <c r="L246" t="e">
        <f>INDEX('Plano de Contas'!#REF!,MATCH(tbDez16[[#This Row],[Conta]],'Plano de Contas'!#REF!,0))</f>
        <v>#REF!</v>
      </c>
    </row>
    <row r="247" spans="1:12" x14ac:dyDescent="0.25">
      <c r="A247" t="s">
        <v>581</v>
      </c>
      <c r="B247" t="s">
        <v>1994</v>
      </c>
      <c r="C247" t="s">
        <v>1995</v>
      </c>
      <c r="D247">
        <v>-478847.22</v>
      </c>
      <c r="E247">
        <v>563947.48</v>
      </c>
      <c r="F247">
        <v>85100.26</v>
      </c>
      <c r="G247">
        <v>478847.22</v>
      </c>
      <c r="H247" s="1">
        <v>0</v>
      </c>
      <c r="I247">
        <v>0</v>
      </c>
      <c r="J247" s="52" t="e">
        <f>INDEX('Plano de Contas'!#REF!,MATCH(tbDez16[[#This Row],[Conta]],'Plano de Contas'!#REF!,0))</f>
        <v>#REF!</v>
      </c>
      <c r="K247" s="52" t="e">
        <f>INDEX('Plano de Contas'!#REF!,MATCH(tbDez16[[#This Row],[Conta]],'Plano de Contas'!#REF!,0))</f>
        <v>#REF!</v>
      </c>
      <c r="L247" t="e">
        <f>INDEX('Plano de Contas'!#REF!,MATCH(tbDez16[[#This Row],[Conta]],'Plano de Contas'!#REF!,0))</f>
        <v>#REF!</v>
      </c>
    </row>
    <row r="248" spans="1:12" x14ac:dyDescent="0.25">
      <c r="A248" t="s">
        <v>583</v>
      </c>
      <c r="B248" t="s">
        <v>1996</v>
      </c>
      <c r="C248" t="s">
        <v>1997</v>
      </c>
      <c r="D248">
        <v>-140386.51999999999</v>
      </c>
      <c r="E248">
        <v>158716.76999999999</v>
      </c>
      <c r="F248">
        <v>18330.25</v>
      </c>
      <c r="G248">
        <v>140386.51999999999</v>
      </c>
      <c r="H248" s="1">
        <v>0</v>
      </c>
      <c r="I248">
        <v>0</v>
      </c>
      <c r="J248" s="52" t="e">
        <f>INDEX('Plano de Contas'!#REF!,MATCH(tbDez16[[#This Row],[Conta]],'Plano de Contas'!#REF!,0))</f>
        <v>#REF!</v>
      </c>
      <c r="K248" s="52" t="e">
        <f>INDEX('Plano de Contas'!#REF!,MATCH(tbDez16[[#This Row],[Conta]],'Plano de Contas'!#REF!,0))</f>
        <v>#REF!</v>
      </c>
      <c r="L248" t="e">
        <f>INDEX('Plano de Contas'!#REF!,MATCH(tbDez16[[#This Row],[Conta]],'Plano de Contas'!#REF!,0))</f>
        <v>#REF!</v>
      </c>
    </row>
    <row r="249" spans="1:12" x14ac:dyDescent="0.25">
      <c r="A249" t="s">
        <v>1193</v>
      </c>
      <c r="B249" t="s">
        <v>1998</v>
      </c>
      <c r="C249" t="s">
        <v>1999</v>
      </c>
      <c r="D249">
        <v>-7408278.21</v>
      </c>
      <c r="E249">
        <v>8614909.0199999996</v>
      </c>
      <c r="F249">
        <v>1206630.81</v>
      </c>
      <c r="G249">
        <v>7408278.209999999</v>
      </c>
      <c r="H249" s="1">
        <v>0</v>
      </c>
      <c r="I249">
        <v>0</v>
      </c>
      <c r="J249" s="52" t="e">
        <f>INDEX('Plano de Contas'!#REF!,MATCH(tbDez16[[#This Row],[Conta]],'Plano de Contas'!#REF!,0))</f>
        <v>#REF!</v>
      </c>
      <c r="K249" s="52" t="e">
        <f>INDEX('Plano de Contas'!#REF!,MATCH(tbDez16[[#This Row],[Conta]],'Plano de Contas'!#REF!,0))</f>
        <v>#REF!</v>
      </c>
      <c r="L249" t="e">
        <f>INDEX('Plano de Contas'!#REF!,MATCH(tbDez16[[#This Row],[Conta]],'Plano de Contas'!#REF!,0))</f>
        <v>#REF!</v>
      </c>
    </row>
    <row r="250" spans="1:12" x14ac:dyDescent="0.25">
      <c r="A250" t="s">
        <v>1195</v>
      </c>
      <c r="B250" t="s">
        <v>2000</v>
      </c>
      <c r="C250" t="s">
        <v>2001</v>
      </c>
      <c r="D250">
        <v>-2674900.15</v>
      </c>
      <c r="E250">
        <v>3110007.24</v>
      </c>
      <c r="F250">
        <v>435107.09</v>
      </c>
      <c r="G250">
        <v>2674900.1500000004</v>
      </c>
      <c r="H250" s="1">
        <v>0</v>
      </c>
      <c r="I250">
        <v>0</v>
      </c>
      <c r="J250" s="52" t="e">
        <f>INDEX('Plano de Contas'!#REF!,MATCH(tbDez16[[#This Row],[Conta]],'Plano de Contas'!#REF!,0))</f>
        <v>#REF!</v>
      </c>
      <c r="K250" s="52" t="e">
        <f>INDEX('Plano de Contas'!#REF!,MATCH(tbDez16[[#This Row],[Conta]],'Plano de Contas'!#REF!,0))</f>
        <v>#REF!</v>
      </c>
      <c r="L250" t="e">
        <f>INDEX('Plano de Contas'!#REF!,MATCH(tbDez16[[#This Row],[Conta]],'Plano de Contas'!#REF!,0))</f>
        <v>#REF!</v>
      </c>
    </row>
    <row r="251" spans="1:12" x14ac:dyDescent="0.25">
      <c r="A251" t="s">
        <v>591</v>
      </c>
      <c r="B251" t="s">
        <v>2002</v>
      </c>
      <c r="C251" t="s">
        <v>1690</v>
      </c>
      <c r="D251">
        <v>-2944389.7</v>
      </c>
      <c r="E251">
        <v>84162.75</v>
      </c>
      <c r="F251">
        <v>7450.96</v>
      </c>
      <c r="G251">
        <v>76711.789999999994</v>
      </c>
      <c r="H251" s="1">
        <v>-2867677.91</v>
      </c>
      <c r="I251">
        <v>-2867.6779100000003</v>
      </c>
      <c r="J251" s="52" t="e">
        <f>INDEX('Plano de Contas'!#REF!,MATCH(tbDez16[[#This Row],[Conta]],'Plano de Contas'!#REF!,0))</f>
        <v>#REF!</v>
      </c>
      <c r="K251" s="52" t="e">
        <f>INDEX('Plano de Contas'!#REF!,MATCH(tbDez16[[#This Row],[Conta]],'Plano de Contas'!#REF!,0))</f>
        <v>#REF!</v>
      </c>
      <c r="L251" t="e">
        <f>INDEX('Plano de Contas'!#REF!,MATCH(tbDez16[[#This Row],[Conta]],'Plano de Contas'!#REF!,0))</f>
        <v>#REF!</v>
      </c>
    </row>
    <row r="252" spans="1:12" x14ac:dyDescent="0.25">
      <c r="A252" t="s">
        <v>593</v>
      </c>
      <c r="B252" t="s">
        <v>2003</v>
      </c>
      <c r="C252" t="s">
        <v>2004</v>
      </c>
      <c r="D252">
        <v>-2944389.7</v>
      </c>
      <c r="E252">
        <v>84162.75</v>
      </c>
      <c r="F252">
        <v>7450.96</v>
      </c>
      <c r="G252">
        <v>76711.789999999994</v>
      </c>
      <c r="H252" s="1">
        <v>-2867677.91</v>
      </c>
      <c r="I252">
        <v>-2867.6779100000003</v>
      </c>
      <c r="J252" s="52" t="e">
        <f>INDEX('Plano de Contas'!#REF!,MATCH(tbDez16[[#This Row],[Conta]],'Plano de Contas'!#REF!,0))</f>
        <v>#REF!</v>
      </c>
      <c r="K252" s="52" t="e">
        <f>INDEX('Plano de Contas'!#REF!,MATCH(tbDez16[[#This Row],[Conta]],'Plano de Contas'!#REF!,0))</f>
        <v>#REF!</v>
      </c>
      <c r="L252" t="e">
        <f>INDEX('Plano de Contas'!#REF!,MATCH(tbDez16[[#This Row],[Conta]],'Plano de Contas'!#REF!,0))</f>
        <v>#REF!</v>
      </c>
    </row>
    <row r="253" spans="1:12" x14ac:dyDescent="0.25">
      <c r="A253" t="s">
        <v>595</v>
      </c>
      <c r="B253" t="s">
        <v>2005</v>
      </c>
      <c r="C253" t="s">
        <v>2006</v>
      </c>
      <c r="D253">
        <v>-103417.89</v>
      </c>
      <c r="E253">
        <v>2901.51</v>
      </c>
      <c r="F253">
        <v>51068.73</v>
      </c>
      <c r="G253">
        <v>-48167.22</v>
      </c>
      <c r="H253" s="1">
        <v>-151585.10999999999</v>
      </c>
      <c r="I253">
        <v>-151.58510999999999</v>
      </c>
      <c r="J253" s="52" t="e">
        <f>INDEX('Plano de Contas'!#REF!,MATCH(tbDez16[[#This Row],[Conta]],'Plano de Contas'!#REF!,0))</f>
        <v>#REF!</v>
      </c>
      <c r="K253" s="52" t="e">
        <f>INDEX('Plano de Contas'!#REF!,MATCH(tbDez16[[#This Row],[Conta]],'Plano de Contas'!#REF!,0))</f>
        <v>#REF!</v>
      </c>
      <c r="L253" t="e">
        <f>INDEX('Plano de Contas'!#REF!,MATCH(tbDez16[[#This Row],[Conta]],'Plano de Contas'!#REF!,0))</f>
        <v>#REF!</v>
      </c>
    </row>
    <row r="254" spans="1:12" x14ac:dyDescent="0.25">
      <c r="A254" t="s">
        <v>597</v>
      </c>
      <c r="B254" t="s">
        <v>2007</v>
      </c>
      <c r="C254" t="s">
        <v>2008</v>
      </c>
      <c r="D254">
        <v>-29083.01</v>
      </c>
      <c r="E254">
        <v>0</v>
      </c>
      <c r="F254">
        <v>51068.73</v>
      </c>
      <c r="G254">
        <v>-51068.73</v>
      </c>
      <c r="H254" s="1">
        <v>-80151.740000000005</v>
      </c>
      <c r="I254">
        <v>-80.151740000000004</v>
      </c>
      <c r="J254" s="52" t="e">
        <f>INDEX('Plano de Contas'!#REF!,MATCH(tbDez16[[#This Row],[Conta]],'Plano de Contas'!#REF!,0))</f>
        <v>#REF!</v>
      </c>
      <c r="K254" s="52" t="e">
        <f>INDEX('Plano de Contas'!#REF!,MATCH(tbDez16[[#This Row],[Conta]],'Plano de Contas'!#REF!,0))</f>
        <v>#REF!</v>
      </c>
      <c r="L254" t="e">
        <f>INDEX('Plano de Contas'!#REF!,MATCH(tbDez16[[#This Row],[Conta]],'Plano de Contas'!#REF!,0))</f>
        <v>#REF!</v>
      </c>
    </row>
    <row r="255" spans="1:12" x14ac:dyDescent="0.25">
      <c r="A255" t="s">
        <v>599</v>
      </c>
      <c r="B255" t="s">
        <v>2009</v>
      </c>
      <c r="C255" t="s">
        <v>2010</v>
      </c>
      <c r="D255">
        <v>-74334.880000000005</v>
      </c>
      <c r="E255">
        <v>2901.51</v>
      </c>
      <c r="F255">
        <v>0</v>
      </c>
      <c r="G255">
        <v>2901.51</v>
      </c>
      <c r="H255" s="1">
        <v>-71433.37</v>
      </c>
      <c r="I255">
        <v>-71.433369999999996</v>
      </c>
      <c r="J255" s="52" t="e">
        <f>INDEX('Plano de Contas'!#REF!,MATCH(tbDez16[[#This Row],[Conta]],'Plano de Contas'!#REF!,0))</f>
        <v>#REF!</v>
      </c>
      <c r="K255" s="52" t="e">
        <f>INDEX('Plano de Contas'!#REF!,MATCH(tbDez16[[#This Row],[Conta]],'Plano de Contas'!#REF!,0))</f>
        <v>#REF!</v>
      </c>
      <c r="L255" t="e">
        <f>INDEX('Plano de Contas'!#REF!,MATCH(tbDez16[[#This Row],[Conta]],'Plano de Contas'!#REF!,0))</f>
        <v>#REF!</v>
      </c>
    </row>
    <row r="256" spans="1:12" x14ac:dyDescent="0.25">
      <c r="A256" t="s">
        <v>601</v>
      </c>
      <c r="B256" t="s">
        <v>2011</v>
      </c>
      <c r="C256" t="s">
        <v>2012</v>
      </c>
      <c r="D256">
        <v>-415668.07</v>
      </c>
      <c r="E256">
        <v>35078.17</v>
      </c>
      <c r="F256">
        <v>35078.17</v>
      </c>
      <c r="G256">
        <v>0</v>
      </c>
      <c r="H256" s="1">
        <v>-415668.07</v>
      </c>
      <c r="I256">
        <v>-415.66807</v>
      </c>
      <c r="J256" s="52" t="e">
        <f>INDEX('Plano de Contas'!#REF!,MATCH(tbDez16[[#This Row],[Conta]],'Plano de Contas'!#REF!,0))</f>
        <v>#REF!</v>
      </c>
      <c r="K256" s="52" t="e">
        <f>INDEX('Plano de Contas'!#REF!,MATCH(tbDez16[[#This Row],[Conta]],'Plano de Contas'!#REF!,0))</f>
        <v>#REF!</v>
      </c>
      <c r="L256" t="e">
        <f>INDEX('Plano de Contas'!#REF!,MATCH(tbDez16[[#This Row],[Conta]],'Plano de Contas'!#REF!,0))</f>
        <v>#REF!</v>
      </c>
    </row>
    <row r="257" spans="1:12" x14ac:dyDescent="0.25">
      <c r="A257" t="s">
        <v>603</v>
      </c>
      <c r="B257" t="s">
        <v>2013</v>
      </c>
      <c r="C257" t="s">
        <v>2014</v>
      </c>
      <c r="D257">
        <v>-226146.52</v>
      </c>
      <c r="E257">
        <v>35078.17</v>
      </c>
      <c r="F257">
        <v>35078.17</v>
      </c>
      <c r="G257">
        <v>0</v>
      </c>
      <c r="H257" s="1">
        <v>-226146.52</v>
      </c>
      <c r="I257">
        <v>-226.14651999999998</v>
      </c>
      <c r="J257" s="52" t="e">
        <f>INDEX('Plano de Contas'!#REF!,MATCH(tbDez16[[#This Row],[Conta]],'Plano de Contas'!#REF!,0))</f>
        <v>#REF!</v>
      </c>
      <c r="K257" s="52" t="e">
        <f>INDEX('Plano de Contas'!#REF!,MATCH(tbDez16[[#This Row],[Conta]],'Plano de Contas'!#REF!,0))</f>
        <v>#REF!</v>
      </c>
      <c r="L257" t="e">
        <f>INDEX('Plano de Contas'!#REF!,MATCH(tbDez16[[#This Row],[Conta]],'Plano de Contas'!#REF!,0))</f>
        <v>#REF!</v>
      </c>
    </row>
    <row r="258" spans="1:12" x14ac:dyDescent="0.25">
      <c r="A258" t="s">
        <v>605</v>
      </c>
      <c r="B258" t="s">
        <v>2015</v>
      </c>
      <c r="C258" t="s">
        <v>2016</v>
      </c>
      <c r="D258">
        <v>-189521.55</v>
      </c>
      <c r="E258">
        <v>0</v>
      </c>
      <c r="F258">
        <v>0</v>
      </c>
      <c r="G258">
        <v>0</v>
      </c>
      <c r="H258" s="1">
        <v>-189521.55</v>
      </c>
      <c r="I258">
        <v>-189.52154999999999</v>
      </c>
      <c r="J258" s="52" t="e">
        <f>INDEX('Plano de Contas'!#REF!,MATCH(tbDez16[[#This Row],[Conta]],'Plano de Contas'!#REF!,0))</f>
        <v>#REF!</v>
      </c>
      <c r="K258" s="52" t="e">
        <f>INDEX('Plano de Contas'!#REF!,MATCH(tbDez16[[#This Row],[Conta]],'Plano de Contas'!#REF!,0))</f>
        <v>#REF!</v>
      </c>
      <c r="L258" t="e">
        <f>INDEX('Plano de Contas'!#REF!,MATCH(tbDez16[[#This Row],[Conta]],'Plano de Contas'!#REF!,0))</f>
        <v>#REF!</v>
      </c>
    </row>
    <row r="259" spans="1:12" x14ac:dyDescent="0.25">
      <c r="A259" t="s">
        <v>608</v>
      </c>
      <c r="B259" t="s">
        <v>2017</v>
      </c>
      <c r="C259" t="s">
        <v>2018</v>
      </c>
      <c r="D259">
        <v>-950999.78</v>
      </c>
      <c r="E259">
        <v>45877.75</v>
      </c>
      <c r="F259">
        <v>45877.75</v>
      </c>
      <c r="G259">
        <v>0</v>
      </c>
      <c r="H259" s="1">
        <v>-950999.78</v>
      </c>
      <c r="I259">
        <v>-950.99977999999999</v>
      </c>
      <c r="J259" s="52" t="e">
        <f>INDEX('Plano de Contas'!#REF!,MATCH(tbDez16[[#This Row],[Conta]],'Plano de Contas'!#REF!,0))</f>
        <v>#REF!</v>
      </c>
      <c r="K259" s="52" t="e">
        <f>INDEX('Plano de Contas'!#REF!,MATCH(tbDez16[[#This Row],[Conta]],'Plano de Contas'!#REF!,0))</f>
        <v>#REF!</v>
      </c>
      <c r="L259" t="e">
        <f>INDEX('Plano de Contas'!#REF!,MATCH(tbDez16[[#This Row],[Conta]],'Plano de Contas'!#REF!,0))</f>
        <v>#REF!</v>
      </c>
    </row>
    <row r="260" spans="1:12" x14ac:dyDescent="0.25">
      <c r="A260" t="s">
        <v>610</v>
      </c>
      <c r="B260" t="s">
        <v>2019</v>
      </c>
      <c r="C260" t="s">
        <v>2020</v>
      </c>
      <c r="D260">
        <v>-38879.480000000003</v>
      </c>
      <c r="E260">
        <v>0</v>
      </c>
      <c r="F260">
        <v>0</v>
      </c>
      <c r="G260">
        <v>0</v>
      </c>
      <c r="H260" s="1">
        <v>-38879.480000000003</v>
      </c>
      <c r="I260">
        <v>-38.879480000000001</v>
      </c>
      <c r="J260" s="52" t="e">
        <f>INDEX('Plano de Contas'!#REF!,MATCH(tbDez16[[#This Row],[Conta]],'Plano de Contas'!#REF!,0))</f>
        <v>#REF!</v>
      </c>
      <c r="K260" s="52" t="e">
        <f>INDEX('Plano de Contas'!#REF!,MATCH(tbDez16[[#This Row],[Conta]],'Plano de Contas'!#REF!,0))</f>
        <v>#REF!</v>
      </c>
      <c r="L260" t="e">
        <f>INDEX('Plano de Contas'!#REF!,MATCH(tbDez16[[#This Row],[Conta]],'Plano de Contas'!#REF!,0))</f>
        <v>#REF!</v>
      </c>
    </row>
    <row r="261" spans="1:12" x14ac:dyDescent="0.25">
      <c r="A261" t="s">
        <v>616</v>
      </c>
      <c r="B261" t="s">
        <v>2021</v>
      </c>
      <c r="C261" t="s">
        <v>2022</v>
      </c>
      <c r="D261">
        <v>-912120</v>
      </c>
      <c r="E261">
        <v>0</v>
      </c>
      <c r="F261">
        <v>0</v>
      </c>
      <c r="G261">
        <v>0</v>
      </c>
      <c r="H261" s="1">
        <v>-912120</v>
      </c>
      <c r="I261">
        <v>-912.12</v>
      </c>
      <c r="J261" s="52" t="e">
        <f>INDEX('Plano de Contas'!#REF!,MATCH(tbDez16[[#This Row],[Conta]],'Plano de Contas'!#REF!,0))</f>
        <v>#REF!</v>
      </c>
      <c r="K261" s="52" t="e">
        <f>INDEX('Plano de Contas'!#REF!,MATCH(tbDez16[[#This Row],[Conta]],'Plano de Contas'!#REF!,0))</f>
        <v>#REF!</v>
      </c>
      <c r="L261" t="e">
        <f>INDEX('Plano de Contas'!#REF!,MATCH(tbDez16[[#This Row],[Conta]],'Plano de Contas'!#REF!,0))</f>
        <v>#REF!</v>
      </c>
    </row>
    <row r="262" spans="1:12" x14ac:dyDescent="0.25">
      <c r="A262" t="s">
        <v>618</v>
      </c>
      <c r="B262" t="s">
        <v>2023</v>
      </c>
      <c r="C262" t="s">
        <v>2024</v>
      </c>
      <c r="D262">
        <v>-0.3</v>
      </c>
      <c r="E262">
        <v>45877.75</v>
      </c>
      <c r="F262">
        <v>45877.75</v>
      </c>
      <c r="G262">
        <v>0</v>
      </c>
      <c r="H262" s="1">
        <v>-0.3</v>
      </c>
      <c r="I262">
        <v>-2.9999999999999997E-4</v>
      </c>
      <c r="J262" s="52" t="e">
        <f>INDEX('Plano de Contas'!#REF!,MATCH(tbDez16[[#This Row],[Conta]],'Plano de Contas'!#REF!,0))</f>
        <v>#REF!</v>
      </c>
      <c r="K262" s="52" t="e">
        <f>INDEX('Plano de Contas'!#REF!,MATCH(tbDez16[[#This Row],[Conta]],'Plano de Contas'!#REF!,0))</f>
        <v>#REF!</v>
      </c>
      <c r="L262" t="e">
        <f>INDEX('Plano de Contas'!#REF!,MATCH(tbDez16[[#This Row],[Conta]],'Plano de Contas'!#REF!,0))</f>
        <v>#REF!</v>
      </c>
    </row>
    <row r="263" spans="1:12" x14ac:dyDescent="0.25">
      <c r="A263" t="s">
        <v>620</v>
      </c>
      <c r="B263" t="s">
        <v>2025</v>
      </c>
      <c r="C263" t="s">
        <v>2026</v>
      </c>
      <c r="D263">
        <v>-0.3</v>
      </c>
      <c r="E263">
        <v>0</v>
      </c>
      <c r="F263">
        <v>0</v>
      </c>
      <c r="G263">
        <v>0</v>
      </c>
      <c r="H263" s="1">
        <v>-0.3</v>
      </c>
      <c r="I263">
        <v>-2.9999999999999997E-4</v>
      </c>
      <c r="J263" s="52" t="e">
        <f>INDEX('Plano de Contas'!#REF!,MATCH(tbDez16[[#This Row],[Conta]],'Plano de Contas'!#REF!,0))</f>
        <v>#REF!</v>
      </c>
      <c r="K263" s="52" t="e">
        <f>INDEX('Plano de Contas'!#REF!,MATCH(tbDez16[[#This Row],[Conta]],'Plano de Contas'!#REF!,0))</f>
        <v>#REF!</v>
      </c>
      <c r="L263" t="e">
        <f>INDEX('Plano de Contas'!#REF!,MATCH(tbDez16[[#This Row],[Conta]],'Plano de Contas'!#REF!,0))</f>
        <v>#REF!</v>
      </c>
    </row>
    <row r="264" spans="1:12" x14ac:dyDescent="0.25">
      <c r="A264" t="s">
        <v>622</v>
      </c>
      <c r="B264" t="s">
        <v>2027</v>
      </c>
      <c r="C264" t="s">
        <v>2028</v>
      </c>
      <c r="D264">
        <v>-0.3</v>
      </c>
      <c r="E264">
        <v>0</v>
      </c>
      <c r="F264">
        <v>0</v>
      </c>
      <c r="G264">
        <v>0</v>
      </c>
      <c r="H264" s="1">
        <v>-0.3</v>
      </c>
      <c r="I264">
        <v>-2.9999999999999997E-4</v>
      </c>
      <c r="J264" s="52" t="e">
        <f>INDEX('Plano de Contas'!#REF!,MATCH(tbDez16[[#This Row],[Conta]],'Plano de Contas'!#REF!,0))</f>
        <v>#REF!</v>
      </c>
      <c r="K264" s="52" t="e">
        <f>INDEX('Plano de Contas'!#REF!,MATCH(tbDez16[[#This Row],[Conta]],'Plano de Contas'!#REF!,0))</f>
        <v>#REF!</v>
      </c>
      <c r="L264" t="e">
        <f>INDEX('Plano de Contas'!#REF!,MATCH(tbDez16[[#This Row],[Conta]],'Plano de Contas'!#REF!,0))</f>
        <v>#REF!</v>
      </c>
    </row>
    <row r="265" spans="1:12" x14ac:dyDescent="0.25">
      <c r="A265" t="s">
        <v>624</v>
      </c>
      <c r="B265" t="s">
        <v>2029</v>
      </c>
      <c r="C265" t="s">
        <v>2030</v>
      </c>
      <c r="D265">
        <v>-2181585991.7800002</v>
      </c>
      <c r="E265">
        <v>667772.21</v>
      </c>
      <c r="F265">
        <v>1320792.08</v>
      </c>
      <c r="G265">
        <v>-653019.87000000011</v>
      </c>
      <c r="H265" s="1">
        <v>-2182239011.6500001</v>
      </c>
      <c r="I265">
        <v>-2182239.0116500002</v>
      </c>
      <c r="J265" s="52" t="e">
        <f>INDEX('Plano de Contas'!#REF!,MATCH(tbDez16[[#This Row],[Conta]],'Plano de Contas'!#REF!,0))</f>
        <v>#REF!</v>
      </c>
      <c r="K265" s="52" t="e">
        <f>INDEX('Plano de Contas'!#REF!,MATCH(tbDez16[[#This Row],[Conta]],'Plano de Contas'!#REF!,0))</f>
        <v>#REF!</v>
      </c>
      <c r="L265" t="e">
        <f>INDEX('Plano de Contas'!#REF!,MATCH(tbDez16[[#This Row],[Conta]],'Plano de Contas'!#REF!,0))</f>
        <v>#REF!</v>
      </c>
    </row>
    <row r="266" spans="1:12" x14ac:dyDescent="0.25">
      <c r="A266" t="s">
        <v>626</v>
      </c>
      <c r="B266" t="s">
        <v>2031</v>
      </c>
      <c r="C266" t="s">
        <v>2032</v>
      </c>
      <c r="D266">
        <v>-2181585991.7800002</v>
      </c>
      <c r="E266">
        <v>667772.21</v>
      </c>
      <c r="F266">
        <v>1320792.08</v>
      </c>
      <c r="G266">
        <v>-653019.87000000011</v>
      </c>
      <c r="H266" s="1">
        <v>-2182239011.6500001</v>
      </c>
      <c r="I266">
        <v>-2182239.0116500002</v>
      </c>
      <c r="J266" s="52" t="e">
        <f>INDEX('Plano de Contas'!#REF!,MATCH(tbDez16[[#This Row],[Conta]],'Plano de Contas'!#REF!,0))</f>
        <v>#REF!</v>
      </c>
      <c r="K266" s="52" t="e">
        <f>INDEX('Plano de Contas'!#REF!,MATCH(tbDez16[[#This Row],[Conta]],'Plano de Contas'!#REF!,0))</f>
        <v>#REF!</v>
      </c>
      <c r="L266" t="e">
        <f>INDEX('Plano de Contas'!#REF!,MATCH(tbDez16[[#This Row],[Conta]],'Plano de Contas'!#REF!,0))</f>
        <v>#REF!</v>
      </c>
    </row>
    <row r="267" spans="1:12" x14ac:dyDescent="0.25">
      <c r="A267" t="s">
        <v>631</v>
      </c>
      <c r="B267" t="s">
        <v>2033</v>
      </c>
      <c r="C267" t="s">
        <v>2034</v>
      </c>
      <c r="D267">
        <v>-448916273.29000002</v>
      </c>
      <c r="E267">
        <v>0</v>
      </c>
      <c r="F267">
        <v>0</v>
      </c>
      <c r="G267">
        <v>0</v>
      </c>
      <c r="H267" s="1">
        <v>-448916273.29000002</v>
      </c>
      <c r="I267">
        <v>-448916.27329000004</v>
      </c>
      <c r="J267" s="52" t="e">
        <f>INDEX('Plano de Contas'!#REF!,MATCH(tbDez16[[#This Row],[Conta]],'Plano de Contas'!#REF!,0))</f>
        <v>#REF!</v>
      </c>
      <c r="K267" s="52" t="e">
        <f>INDEX('Plano de Contas'!#REF!,MATCH(tbDez16[[#This Row],[Conta]],'Plano de Contas'!#REF!,0))</f>
        <v>#REF!</v>
      </c>
      <c r="L267" t="e">
        <f>INDEX('Plano de Contas'!#REF!,MATCH(tbDez16[[#This Row],[Conta]],'Plano de Contas'!#REF!,0))</f>
        <v>#REF!</v>
      </c>
    </row>
    <row r="268" spans="1:12" x14ac:dyDescent="0.25">
      <c r="A268" t="s">
        <v>633</v>
      </c>
      <c r="B268" t="s">
        <v>2035</v>
      </c>
      <c r="C268" t="s">
        <v>2036</v>
      </c>
      <c r="D268">
        <v>-448916273.29000002</v>
      </c>
      <c r="E268">
        <v>0</v>
      </c>
      <c r="F268">
        <v>0</v>
      </c>
      <c r="G268">
        <v>0</v>
      </c>
      <c r="H268" s="1">
        <v>-448916273.29000002</v>
      </c>
      <c r="I268">
        <v>-448916.27329000004</v>
      </c>
      <c r="J268" s="52" t="e">
        <f>INDEX('Plano de Contas'!#REF!,MATCH(tbDez16[[#This Row],[Conta]],'Plano de Contas'!#REF!,0))</f>
        <v>#REF!</v>
      </c>
      <c r="K268" s="52" t="e">
        <f>INDEX('Plano de Contas'!#REF!,MATCH(tbDez16[[#This Row],[Conta]],'Plano de Contas'!#REF!,0))</f>
        <v>#REF!</v>
      </c>
      <c r="L268" t="e">
        <f>INDEX('Plano de Contas'!#REF!,MATCH(tbDez16[[#This Row],[Conta]],'Plano de Contas'!#REF!,0))</f>
        <v>#REF!</v>
      </c>
    </row>
    <row r="269" spans="1:12" x14ac:dyDescent="0.25">
      <c r="A269" t="s">
        <v>635</v>
      </c>
      <c r="B269" t="s">
        <v>2037</v>
      </c>
      <c r="C269" t="s">
        <v>2038</v>
      </c>
      <c r="D269">
        <v>-644352639.44000006</v>
      </c>
      <c r="E269">
        <v>0</v>
      </c>
      <c r="F269">
        <v>0</v>
      </c>
      <c r="G269">
        <v>0</v>
      </c>
      <c r="H269" s="1">
        <v>-644352639.44000006</v>
      </c>
      <c r="I269">
        <v>-644352.63944000006</v>
      </c>
      <c r="J269" s="52" t="e">
        <f>INDEX('Plano de Contas'!#REF!,MATCH(tbDez16[[#This Row],[Conta]],'Plano de Contas'!#REF!,0))</f>
        <v>#REF!</v>
      </c>
      <c r="K269" s="52" t="e">
        <f>INDEX('Plano de Contas'!#REF!,MATCH(tbDez16[[#This Row],[Conta]],'Plano de Contas'!#REF!,0))</f>
        <v>#REF!</v>
      </c>
      <c r="L269" t="e">
        <f>INDEX('Plano de Contas'!#REF!,MATCH(tbDez16[[#This Row],[Conta]],'Plano de Contas'!#REF!,0))</f>
        <v>#REF!</v>
      </c>
    </row>
    <row r="270" spans="1:12" x14ac:dyDescent="0.25">
      <c r="A270" t="s">
        <v>637</v>
      </c>
      <c r="B270" t="s">
        <v>2039</v>
      </c>
      <c r="C270" t="s">
        <v>2040</v>
      </c>
      <c r="D270">
        <v>-644352639.44000006</v>
      </c>
      <c r="E270">
        <v>0</v>
      </c>
      <c r="F270">
        <v>0</v>
      </c>
      <c r="G270">
        <v>0</v>
      </c>
      <c r="H270" s="1">
        <v>-644352639.44000006</v>
      </c>
      <c r="I270">
        <v>-644352.63944000006</v>
      </c>
      <c r="J270" s="52" t="e">
        <f>INDEX('Plano de Contas'!#REF!,MATCH(tbDez16[[#This Row],[Conta]],'Plano de Contas'!#REF!,0))</f>
        <v>#REF!</v>
      </c>
      <c r="K270" s="52" t="e">
        <f>INDEX('Plano de Contas'!#REF!,MATCH(tbDez16[[#This Row],[Conta]],'Plano de Contas'!#REF!,0))</f>
        <v>#REF!</v>
      </c>
      <c r="L270" t="e">
        <f>INDEX('Plano de Contas'!#REF!,MATCH(tbDez16[[#This Row],[Conta]],'Plano de Contas'!#REF!,0))</f>
        <v>#REF!</v>
      </c>
    </row>
    <row r="271" spans="1:12" x14ac:dyDescent="0.25">
      <c r="A271" t="s">
        <v>639</v>
      </c>
      <c r="B271" t="s">
        <v>2041</v>
      </c>
      <c r="C271" t="s">
        <v>2018</v>
      </c>
      <c r="D271">
        <v>-11770524.140000001</v>
      </c>
      <c r="E271">
        <v>0</v>
      </c>
      <c r="F271">
        <v>1052925.28</v>
      </c>
      <c r="G271">
        <v>-1052925.28</v>
      </c>
      <c r="H271" s="1">
        <v>-12823449.42</v>
      </c>
      <c r="I271">
        <v>-12823.449420000001</v>
      </c>
      <c r="J271" s="52" t="e">
        <f>INDEX('Plano de Contas'!#REF!,MATCH(tbDez16[[#This Row],[Conta]],'Plano de Contas'!#REF!,0))</f>
        <v>#REF!</v>
      </c>
      <c r="K271" s="52" t="e">
        <f>INDEX('Plano de Contas'!#REF!,MATCH(tbDez16[[#This Row],[Conta]],'Plano de Contas'!#REF!,0))</f>
        <v>#REF!</v>
      </c>
      <c r="L271" t="e">
        <f>INDEX('Plano de Contas'!#REF!,MATCH(tbDez16[[#This Row],[Conta]],'Plano de Contas'!#REF!,0))</f>
        <v>#REF!</v>
      </c>
    </row>
    <row r="272" spans="1:12" x14ac:dyDescent="0.25">
      <c r="A272" t="s">
        <v>640</v>
      </c>
      <c r="B272" t="s">
        <v>2042</v>
      </c>
      <c r="C272" t="s">
        <v>2043</v>
      </c>
      <c r="D272">
        <v>-11770524.140000001</v>
      </c>
      <c r="E272">
        <v>0</v>
      </c>
      <c r="F272">
        <v>1052925.28</v>
      </c>
      <c r="G272">
        <v>-1052925.28</v>
      </c>
      <c r="H272" s="1">
        <v>-12823449.42</v>
      </c>
      <c r="I272">
        <v>-12823.449420000001</v>
      </c>
      <c r="J272" s="52" t="e">
        <f>INDEX('Plano de Contas'!#REF!,MATCH(tbDez16[[#This Row],[Conta]],'Plano de Contas'!#REF!,0))</f>
        <v>#REF!</v>
      </c>
      <c r="K272" s="52" t="e">
        <f>INDEX('Plano de Contas'!#REF!,MATCH(tbDez16[[#This Row],[Conta]],'Plano de Contas'!#REF!,0))</f>
        <v>#REF!</v>
      </c>
      <c r="L272" t="e">
        <f>INDEX('Plano de Contas'!#REF!,MATCH(tbDez16[[#This Row],[Conta]],'Plano de Contas'!#REF!,0))</f>
        <v>#REF!</v>
      </c>
    </row>
    <row r="273" spans="1:12" x14ac:dyDescent="0.25">
      <c r="A273" t="s">
        <v>648</v>
      </c>
      <c r="B273" t="s">
        <v>2044</v>
      </c>
      <c r="C273" t="s">
        <v>2045</v>
      </c>
      <c r="D273">
        <v>-349226662.73000002</v>
      </c>
      <c r="E273">
        <v>38750</v>
      </c>
      <c r="F273">
        <v>267866.8</v>
      </c>
      <c r="G273">
        <v>-229116.79999999999</v>
      </c>
      <c r="H273" s="1">
        <v>-349455779.52999997</v>
      </c>
      <c r="I273">
        <v>-349455.77953</v>
      </c>
      <c r="J273" s="52" t="e">
        <f>INDEX('Plano de Contas'!#REF!,MATCH(tbDez16[[#This Row],[Conta]],'Plano de Contas'!#REF!,0))</f>
        <v>#REF!</v>
      </c>
      <c r="K273" s="52" t="e">
        <f>INDEX('Plano de Contas'!#REF!,MATCH(tbDez16[[#This Row],[Conta]],'Plano de Contas'!#REF!,0))</f>
        <v>#REF!</v>
      </c>
      <c r="L273" t="e">
        <f>INDEX('Plano de Contas'!#REF!,MATCH(tbDez16[[#This Row],[Conta]],'Plano de Contas'!#REF!,0))</f>
        <v>#REF!</v>
      </c>
    </row>
    <row r="274" spans="1:12" x14ac:dyDescent="0.25">
      <c r="A274" t="s">
        <v>650</v>
      </c>
      <c r="B274" t="s">
        <v>2046</v>
      </c>
      <c r="C274" t="s">
        <v>2047</v>
      </c>
      <c r="D274">
        <v>-323442006.61000001</v>
      </c>
      <c r="E274">
        <v>0</v>
      </c>
      <c r="F274">
        <v>0</v>
      </c>
      <c r="G274">
        <v>0</v>
      </c>
      <c r="H274" s="1">
        <v>-323442006.61000001</v>
      </c>
      <c r="I274">
        <v>-323442.00661000004</v>
      </c>
      <c r="J274" s="52" t="e">
        <f>INDEX('Plano de Contas'!#REF!,MATCH(tbDez16[[#This Row],[Conta]],'Plano de Contas'!#REF!,0))</f>
        <v>#REF!</v>
      </c>
      <c r="K274" s="52" t="e">
        <f>INDEX('Plano de Contas'!#REF!,MATCH(tbDez16[[#This Row],[Conta]],'Plano de Contas'!#REF!,0))</f>
        <v>#REF!</v>
      </c>
      <c r="L274" t="e">
        <f>INDEX('Plano de Contas'!#REF!,MATCH(tbDez16[[#This Row],[Conta]],'Plano de Contas'!#REF!,0))</f>
        <v>#REF!</v>
      </c>
    </row>
    <row r="275" spans="1:12" x14ac:dyDescent="0.25">
      <c r="A275" t="s">
        <v>1052</v>
      </c>
      <c r="B275" t="s">
        <v>2048</v>
      </c>
      <c r="C275" t="s">
        <v>2049</v>
      </c>
      <c r="D275">
        <v>-25784656.120000001</v>
      </c>
      <c r="E275">
        <v>38750</v>
      </c>
      <c r="F275">
        <v>267866.8</v>
      </c>
      <c r="G275">
        <v>-229116.79999999999</v>
      </c>
      <c r="H275" s="1">
        <v>-26013772.920000002</v>
      </c>
      <c r="I275">
        <v>-26013.772920000003</v>
      </c>
      <c r="J275" s="52" t="e">
        <f>INDEX('Plano de Contas'!#REF!,MATCH(tbDez16[[#This Row],[Conta]],'Plano de Contas'!#REF!,0))</f>
        <v>#REF!</v>
      </c>
      <c r="K275" s="52" t="e">
        <f>INDEX('Plano de Contas'!#REF!,MATCH(tbDez16[[#This Row],[Conta]],'Plano de Contas'!#REF!,0))</f>
        <v>#REF!</v>
      </c>
      <c r="L275" t="e">
        <f>INDEX('Plano de Contas'!#REF!,MATCH(tbDez16[[#This Row],[Conta]],'Plano de Contas'!#REF!,0))</f>
        <v>#REF!</v>
      </c>
    </row>
    <row r="276" spans="1:12" x14ac:dyDescent="0.25">
      <c r="A276" t="s">
        <v>1197</v>
      </c>
      <c r="B276" t="s">
        <v>2050</v>
      </c>
      <c r="C276" t="s">
        <v>2051</v>
      </c>
      <c r="D276">
        <v>-727319892.17999995</v>
      </c>
      <c r="E276">
        <v>629022.21</v>
      </c>
      <c r="F276">
        <v>0</v>
      </c>
      <c r="G276">
        <v>629022.21</v>
      </c>
      <c r="H276" s="1">
        <v>-726690869.97000003</v>
      </c>
      <c r="I276">
        <v>-726690.86997</v>
      </c>
      <c r="J276" s="52" t="e">
        <f>INDEX('Plano de Contas'!#REF!,MATCH(tbDez16[[#This Row],[Conta]],'Plano de Contas'!#REF!,0))</f>
        <v>#REF!</v>
      </c>
      <c r="K276" s="52" t="e">
        <f>INDEX('Plano de Contas'!#REF!,MATCH(tbDez16[[#This Row],[Conta]],'Plano de Contas'!#REF!,0))</f>
        <v>#REF!</v>
      </c>
      <c r="L276" t="e">
        <f>INDEX('Plano de Contas'!#REF!,MATCH(tbDez16[[#This Row],[Conta]],'Plano de Contas'!#REF!,0))</f>
        <v>#REF!</v>
      </c>
    </row>
    <row r="277" spans="1:12" x14ac:dyDescent="0.25">
      <c r="A277" t="s">
        <v>1199</v>
      </c>
      <c r="B277" t="s">
        <v>2052</v>
      </c>
      <c r="C277" t="s">
        <v>2053</v>
      </c>
      <c r="D277">
        <v>-534794038.33999997</v>
      </c>
      <c r="E277">
        <v>462516.33</v>
      </c>
      <c r="F277">
        <v>0</v>
      </c>
      <c r="G277">
        <v>462516.33</v>
      </c>
      <c r="H277" s="1">
        <v>-534331522.00999999</v>
      </c>
      <c r="I277">
        <v>-534331.52200999996</v>
      </c>
      <c r="J277" s="52" t="e">
        <f>INDEX('Plano de Contas'!#REF!,MATCH(tbDez16[[#This Row],[Conta]],'Plano de Contas'!#REF!,0))</f>
        <v>#REF!</v>
      </c>
      <c r="K277" s="52" t="e">
        <f>INDEX('Plano de Contas'!#REF!,MATCH(tbDez16[[#This Row],[Conta]],'Plano de Contas'!#REF!,0))</f>
        <v>#REF!</v>
      </c>
      <c r="L277" t="e">
        <f>INDEX('Plano de Contas'!#REF!,MATCH(tbDez16[[#This Row],[Conta]],'Plano de Contas'!#REF!,0))</f>
        <v>#REF!</v>
      </c>
    </row>
    <row r="278" spans="1:12" x14ac:dyDescent="0.25">
      <c r="A278" t="s">
        <v>1201</v>
      </c>
      <c r="B278" t="s">
        <v>2054</v>
      </c>
      <c r="C278" t="s">
        <v>2055</v>
      </c>
      <c r="D278">
        <v>-192525853.84</v>
      </c>
      <c r="E278">
        <v>166505.88</v>
      </c>
      <c r="F278">
        <v>0</v>
      </c>
      <c r="G278">
        <v>166505.88</v>
      </c>
      <c r="H278" s="1">
        <v>-192359347.96000001</v>
      </c>
      <c r="I278">
        <v>-192359.34796000001</v>
      </c>
      <c r="J278" s="52" t="e">
        <f>INDEX('Plano de Contas'!#REF!,MATCH(tbDez16[[#This Row],[Conta]],'Plano de Contas'!#REF!,0))</f>
        <v>#REF!</v>
      </c>
      <c r="K278" s="52" t="e">
        <f>INDEX('Plano de Contas'!#REF!,MATCH(tbDez16[[#This Row],[Conta]],'Plano de Contas'!#REF!,0))</f>
        <v>#REF!</v>
      </c>
      <c r="L278" t="e">
        <f>INDEX('Plano de Contas'!#REF!,MATCH(tbDez16[[#This Row],[Conta]],'Plano de Contas'!#REF!,0))</f>
        <v>#REF!</v>
      </c>
    </row>
    <row r="279" spans="1:12" x14ac:dyDescent="0.25">
      <c r="A279" t="s">
        <v>652</v>
      </c>
      <c r="B279" t="s">
        <v>2056</v>
      </c>
      <c r="C279" t="s">
        <v>2057</v>
      </c>
      <c r="D279">
        <v>-3025027955.3099999</v>
      </c>
      <c r="E279">
        <v>1543917.63</v>
      </c>
      <c r="F279">
        <v>1543917.63</v>
      </c>
      <c r="G279">
        <v>0</v>
      </c>
      <c r="H279" s="1">
        <v>-3025027955.3099999</v>
      </c>
      <c r="I279">
        <v>-3025027.9553100001</v>
      </c>
      <c r="J279" s="52" t="e">
        <f>INDEX('Plano de Contas'!#REF!,MATCH(tbDez16[[#This Row],[Conta]],'Plano de Contas'!#REF!,0))</f>
        <v>#REF!</v>
      </c>
      <c r="K279" s="52" t="e">
        <f>INDEX('Plano de Contas'!#REF!,MATCH(tbDez16[[#This Row],[Conta]],'Plano de Contas'!#REF!,0))</f>
        <v>#REF!</v>
      </c>
      <c r="L279" t="e">
        <f>INDEX('Plano de Contas'!#REF!,MATCH(tbDez16[[#This Row],[Conta]],'Plano de Contas'!#REF!,0))</f>
        <v>#REF!</v>
      </c>
    </row>
    <row r="280" spans="1:12" x14ac:dyDescent="0.25">
      <c r="A280" t="s">
        <v>654</v>
      </c>
      <c r="B280" t="s">
        <v>2058</v>
      </c>
      <c r="C280" t="s">
        <v>2059</v>
      </c>
      <c r="D280">
        <v>-1510922011.0599999</v>
      </c>
      <c r="E280">
        <v>0</v>
      </c>
      <c r="F280">
        <v>0</v>
      </c>
      <c r="G280">
        <v>0</v>
      </c>
      <c r="H280" s="1">
        <v>-1510922011.0599999</v>
      </c>
      <c r="I280">
        <v>-1510922.0110599999</v>
      </c>
      <c r="J280" s="52" t="e">
        <f>INDEX('Plano de Contas'!#REF!,MATCH(tbDez16[[#This Row],[Conta]],'Plano de Contas'!#REF!,0))</f>
        <v>#REF!</v>
      </c>
      <c r="K280" s="52" t="e">
        <f>INDEX('Plano de Contas'!#REF!,MATCH(tbDez16[[#This Row],[Conta]],'Plano de Contas'!#REF!,0))</f>
        <v>#REF!</v>
      </c>
      <c r="L280" t="e">
        <f>INDEX('Plano de Contas'!#REF!,MATCH(tbDez16[[#This Row],[Conta]],'Plano de Contas'!#REF!,0))</f>
        <v>#REF!</v>
      </c>
    </row>
    <row r="281" spans="1:12" x14ac:dyDescent="0.25">
      <c r="A281" t="s">
        <v>656</v>
      </c>
      <c r="B281" t="s">
        <v>2060</v>
      </c>
      <c r="C281" t="s">
        <v>2061</v>
      </c>
      <c r="D281">
        <v>-1510922011.0599999</v>
      </c>
      <c r="E281">
        <v>0</v>
      </c>
      <c r="F281">
        <v>0</v>
      </c>
      <c r="G281">
        <v>0</v>
      </c>
      <c r="H281" s="1">
        <v>-1510922011.0599999</v>
      </c>
      <c r="I281">
        <v>-1510922.0110599999</v>
      </c>
      <c r="J281" s="52" t="e">
        <f>INDEX('Plano de Contas'!#REF!,MATCH(tbDez16[[#This Row],[Conta]],'Plano de Contas'!#REF!,0))</f>
        <v>#REF!</v>
      </c>
      <c r="K281" s="52" t="e">
        <f>INDEX('Plano de Contas'!#REF!,MATCH(tbDez16[[#This Row],[Conta]],'Plano de Contas'!#REF!,0))</f>
        <v>#REF!</v>
      </c>
      <c r="L281" t="e">
        <f>INDEX('Plano de Contas'!#REF!,MATCH(tbDez16[[#This Row],[Conta]],'Plano de Contas'!#REF!,0))</f>
        <v>#REF!</v>
      </c>
    </row>
    <row r="282" spans="1:12" x14ac:dyDescent="0.25">
      <c r="A282" t="s">
        <v>658</v>
      </c>
      <c r="B282" t="s">
        <v>2062</v>
      </c>
      <c r="C282" t="s">
        <v>2063</v>
      </c>
      <c r="D282">
        <v>-1510922011.0599999</v>
      </c>
      <c r="E282">
        <v>0</v>
      </c>
      <c r="F282">
        <v>0</v>
      </c>
      <c r="G282">
        <v>0</v>
      </c>
      <c r="H282" s="1">
        <v>-1510922011.0599999</v>
      </c>
      <c r="I282">
        <v>-1510922.0110599999</v>
      </c>
      <c r="J282" s="52" t="e">
        <f>INDEX('Plano de Contas'!#REF!,MATCH(tbDez16[[#This Row],[Conta]],'Plano de Contas'!#REF!,0))</f>
        <v>#REF!</v>
      </c>
      <c r="K282" s="52" t="e">
        <f>INDEX('Plano de Contas'!#REF!,MATCH(tbDez16[[#This Row],[Conta]],'Plano de Contas'!#REF!,0))</f>
        <v>#REF!</v>
      </c>
      <c r="L282" t="e">
        <f>INDEX('Plano de Contas'!#REF!,MATCH(tbDez16[[#This Row],[Conta]],'Plano de Contas'!#REF!,0))</f>
        <v>#REF!</v>
      </c>
    </row>
    <row r="283" spans="1:12" x14ac:dyDescent="0.25">
      <c r="A283" t="s">
        <v>660</v>
      </c>
      <c r="B283" t="s">
        <v>2064</v>
      </c>
      <c r="C283" t="s">
        <v>2065</v>
      </c>
      <c r="D283">
        <v>-1446654958.6400001</v>
      </c>
      <c r="E283">
        <v>797140.02</v>
      </c>
      <c r="F283">
        <v>746777.61</v>
      </c>
      <c r="G283">
        <v>50362.410000000033</v>
      </c>
      <c r="H283" s="1">
        <v>-1446604596.23</v>
      </c>
      <c r="I283">
        <v>-1446604.59623</v>
      </c>
      <c r="J283" s="52" t="e">
        <f>INDEX('Plano de Contas'!#REF!,MATCH(tbDez16[[#This Row],[Conta]],'Plano de Contas'!#REF!,0))</f>
        <v>#REF!</v>
      </c>
      <c r="K283" s="52" t="e">
        <f>INDEX('Plano de Contas'!#REF!,MATCH(tbDez16[[#This Row],[Conta]],'Plano de Contas'!#REF!,0))</f>
        <v>#REF!</v>
      </c>
      <c r="L283" t="e">
        <f>INDEX('Plano de Contas'!#REF!,MATCH(tbDez16[[#This Row],[Conta]],'Plano de Contas'!#REF!,0))</f>
        <v>#REF!</v>
      </c>
    </row>
    <row r="284" spans="1:12" x14ac:dyDescent="0.25">
      <c r="A284" t="s">
        <v>662</v>
      </c>
      <c r="B284" t="s">
        <v>2066</v>
      </c>
      <c r="C284" t="s">
        <v>2067</v>
      </c>
      <c r="D284">
        <v>-948261.98</v>
      </c>
      <c r="E284">
        <v>0</v>
      </c>
      <c r="F284">
        <v>0</v>
      </c>
      <c r="G284">
        <v>0</v>
      </c>
      <c r="H284" s="1">
        <v>-948261.98</v>
      </c>
      <c r="I284">
        <v>-948.26197999999999</v>
      </c>
      <c r="J284" s="52" t="e">
        <f>INDEX('Plano de Contas'!#REF!,MATCH(tbDez16[[#This Row],[Conta]],'Plano de Contas'!#REF!,0))</f>
        <v>#REF!</v>
      </c>
      <c r="K284" s="52" t="e">
        <f>INDEX('Plano de Contas'!#REF!,MATCH(tbDez16[[#This Row],[Conta]],'Plano de Contas'!#REF!,0))</f>
        <v>#REF!</v>
      </c>
      <c r="L284" t="e">
        <f>INDEX('Plano de Contas'!#REF!,MATCH(tbDez16[[#This Row],[Conta]],'Plano de Contas'!#REF!,0))</f>
        <v>#REF!</v>
      </c>
    </row>
    <row r="285" spans="1:12" x14ac:dyDescent="0.25">
      <c r="A285" t="s">
        <v>664</v>
      </c>
      <c r="B285" t="s">
        <v>2068</v>
      </c>
      <c r="C285" t="s">
        <v>2069</v>
      </c>
      <c r="D285">
        <v>-2777.91</v>
      </c>
      <c r="E285">
        <v>0</v>
      </c>
      <c r="F285">
        <v>0</v>
      </c>
      <c r="G285">
        <v>0</v>
      </c>
      <c r="H285" s="1">
        <v>-2777.91</v>
      </c>
      <c r="I285">
        <v>-2.7779099999999999</v>
      </c>
      <c r="J285" s="52" t="e">
        <f>INDEX('Plano de Contas'!#REF!,MATCH(tbDez16[[#This Row],[Conta]],'Plano de Contas'!#REF!,0))</f>
        <v>#REF!</v>
      </c>
      <c r="K285" s="52" t="e">
        <f>INDEX('Plano de Contas'!#REF!,MATCH(tbDez16[[#This Row],[Conta]],'Plano de Contas'!#REF!,0))</f>
        <v>#REF!</v>
      </c>
      <c r="L285" t="e">
        <f>INDEX('Plano de Contas'!#REF!,MATCH(tbDez16[[#This Row],[Conta]],'Plano de Contas'!#REF!,0))</f>
        <v>#REF!</v>
      </c>
    </row>
    <row r="286" spans="1:12" x14ac:dyDescent="0.25">
      <c r="A286" t="s">
        <v>666</v>
      </c>
      <c r="B286" t="s">
        <v>2070</v>
      </c>
      <c r="C286" t="s">
        <v>2071</v>
      </c>
      <c r="D286">
        <v>-2193.35</v>
      </c>
      <c r="E286">
        <v>0</v>
      </c>
      <c r="F286">
        <v>0</v>
      </c>
      <c r="G286">
        <v>0</v>
      </c>
      <c r="H286" s="1">
        <v>-2193.35</v>
      </c>
      <c r="I286">
        <v>-2.1933499999999997</v>
      </c>
      <c r="J286" s="52" t="e">
        <f>INDEX('Plano de Contas'!#REF!,MATCH(tbDez16[[#This Row],[Conta]],'Plano de Contas'!#REF!,0))</f>
        <v>#REF!</v>
      </c>
      <c r="K286" s="52" t="e">
        <f>INDEX('Plano de Contas'!#REF!,MATCH(tbDez16[[#This Row],[Conta]],'Plano de Contas'!#REF!,0))</f>
        <v>#REF!</v>
      </c>
      <c r="L286" t="e">
        <f>INDEX('Plano de Contas'!#REF!,MATCH(tbDez16[[#This Row],[Conta]],'Plano de Contas'!#REF!,0))</f>
        <v>#REF!</v>
      </c>
    </row>
    <row r="287" spans="1:12" x14ac:dyDescent="0.25">
      <c r="A287" t="s">
        <v>668</v>
      </c>
      <c r="B287" t="s">
        <v>2072</v>
      </c>
      <c r="C287" t="s">
        <v>2073</v>
      </c>
      <c r="D287">
        <v>-920000</v>
      </c>
      <c r="E287">
        <v>0</v>
      </c>
      <c r="F287">
        <v>0</v>
      </c>
      <c r="G287">
        <v>0</v>
      </c>
      <c r="H287" s="1">
        <v>-920000</v>
      </c>
      <c r="I287">
        <v>-920</v>
      </c>
      <c r="J287" s="52" t="e">
        <f>INDEX('Plano de Contas'!#REF!,MATCH(tbDez16[[#This Row],[Conta]],'Plano de Contas'!#REF!,0))</f>
        <v>#REF!</v>
      </c>
      <c r="K287" s="52" t="e">
        <f>INDEX('Plano de Contas'!#REF!,MATCH(tbDez16[[#This Row],[Conta]],'Plano de Contas'!#REF!,0))</f>
        <v>#REF!</v>
      </c>
      <c r="L287" t="e">
        <f>INDEX('Plano de Contas'!#REF!,MATCH(tbDez16[[#This Row],[Conta]],'Plano de Contas'!#REF!,0))</f>
        <v>#REF!</v>
      </c>
    </row>
    <row r="288" spans="1:12" x14ac:dyDescent="0.25">
      <c r="A288" t="s">
        <v>670</v>
      </c>
      <c r="B288" t="s">
        <v>2074</v>
      </c>
      <c r="C288" t="s">
        <v>2075</v>
      </c>
      <c r="D288">
        <v>-23290.720000000001</v>
      </c>
      <c r="E288">
        <v>0</v>
      </c>
      <c r="F288">
        <v>0</v>
      </c>
      <c r="G288">
        <v>0</v>
      </c>
      <c r="H288" s="1">
        <v>-23290.720000000001</v>
      </c>
      <c r="I288">
        <v>-23.29072</v>
      </c>
      <c r="J288" s="52" t="e">
        <f>INDEX('Plano de Contas'!#REF!,MATCH(tbDez16[[#This Row],[Conta]],'Plano de Contas'!#REF!,0))</f>
        <v>#REF!</v>
      </c>
      <c r="K288" s="52" t="e">
        <f>INDEX('Plano de Contas'!#REF!,MATCH(tbDez16[[#This Row],[Conta]],'Plano de Contas'!#REF!,0))</f>
        <v>#REF!</v>
      </c>
      <c r="L288" t="e">
        <f>INDEX('Plano de Contas'!#REF!,MATCH(tbDez16[[#This Row],[Conta]],'Plano de Contas'!#REF!,0))</f>
        <v>#REF!</v>
      </c>
    </row>
    <row r="289" spans="1:12" x14ac:dyDescent="0.25">
      <c r="A289" t="s">
        <v>1203</v>
      </c>
      <c r="B289" t="s">
        <v>2076</v>
      </c>
      <c r="C289" t="s">
        <v>2077</v>
      </c>
      <c r="D289">
        <v>-23715032.280000001</v>
      </c>
      <c r="E289">
        <v>0</v>
      </c>
      <c r="F289">
        <v>475750</v>
      </c>
      <c r="G289">
        <v>-475750</v>
      </c>
      <c r="H289" s="1">
        <v>-24190782.280000001</v>
      </c>
      <c r="I289">
        <v>-24190.782279999999</v>
      </c>
      <c r="J289" s="52" t="e">
        <f>INDEX('Plano de Contas'!#REF!,MATCH(tbDez16[[#This Row],[Conta]],'Plano de Contas'!#REF!,0))</f>
        <v>#REF!</v>
      </c>
      <c r="K289" s="52" t="e">
        <f>INDEX('Plano de Contas'!#REF!,MATCH(tbDez16[[#This Row],[Conta]],'Plano de Contas'!#REF!,0))</f>
        <v>#REF!</v>
      </c>
      <c r="L289" t="e">
        <f>INDEX('Plano de Contas'!#REF!,MATCH(tbDez16[[#This Row],[Conta]],'Plano de Contas'!#REF!,0))</f>
        <v>#REF!</v>
      </c>
    </row>
    <row r="290" spans="1:12" x14ac:dyDescent="0.25">
      <c r="A290" t="s">
        <v>1205</v>
      </c>
      <c r="B290" t="s">
        <v>2078</v>
      </c>
      <c r="C290" t="s">
        <v>2049</v>
      </c>
      <c r="D290">
        <v>-23715032.280000001</v>
      </c>
      <c r="E290">
        <v>0</v>
      </c>
      <c r="F290">
        <v>475750</v>
      </c>
      <c r="G290">
        <v>-475750</v>
      </c>
      <c r="H290" s="1">
        <v>-24190782.280000001</v>
      </c>
      <c r="I290">
        <v>-24190.782279999999</v>
      </c>
      <c r="J290" s="52" t="e">
        <f>INDEX('Plano de Contas'!#REF!,MATCH(tbDez16[[#This Row],[Conta]],'Plano de Contas'!#REF!,0))</f>
        <v>#REF!</v>
      </c>
      <c r="K290" s="52" t="e">
        <f>INDEX('Plano de Contas'!#REF!,MATCH(tbDez16[[#This Row],[Conta]],'Plano de Contas'!#REF!,0))</f>
        <v>#REF!</v>
      </c>
      <c r="L290" t="e">
        <f>INDEX('Plano de Contas'!#REF!,MATCH(tbDez16[[#This Row],[Conta]],'Plano de Contas'!#REF!,0))</f>
        <v>#REF!</v>
      </c>
    </row>
    <row r="291" spans="1:12" x14ac:dyDescent="0.25">
      <c r="A291" t="s">
        <v>672</v>
      </c>
      <c r="B291" t="s">
        <v>2079</v>
      </c>
      <c r="C291" t="s">
        <v>2080</v>
      </c>
      <c r="D291">
        <v>-36684.57</v>
      </c>
      <c r="E291">
        <v>0</v>
      </c>
      <c r="F291">
        <v>0</v>
      </c>
      <c r="G291">
        <v>0</v>
      </c>
      <c r="H291" s="1">
        <v>-36684.57</v>
      </c>
      <c r="I291">
        <v>-36.684570000000001</v>
      </c>
      <c r="J291" s="52" t="e">
        <f>INDEX('Plano de Contas'!#REF!,MATCH(tbDez16[[#This Row],[Conta]],'Plano de Contas'!#REF!,0))</f>
        <v>#REF!</v>
      </c>
      <c r="K291" s="52" t="e">
        <f>INDEX('Plano de Contas'!#REF!,MATCH(tbDez16[[#This Row],[Conta]],'Plano de Contas'!#REF!,0))</f>
        <v>#REF!</v>
      </c>
      <c r="L291" t="e">
        <f>INDEX('Plano de Contas'!#REF!,MATCH(tbDez16[[#This Row],[Conta]],'Plano de Contas'!#REF!,0))</f>
        <v>#REF!</v>
      </c>
    </row>
    <row r="292" spans="1:12" x14ac:dyDescent="0.25">
      <c r="A292" t="s">
        <v>674</v>
      </c>
      <c r="B292" t="s">
        <v>2081</v>
      </c>
      <c r="C292" t="s">
        <v>2082</v>
      </c>
      <c r="D292">
        <v>-18298.990000000002</v>
      </c>
      <c r="E292">
        <v>0</v>
      </c>
      <c r="F292">
        <v>0</v>
      </c>
      <c r="G292">
        <v>0</v>
      </c>
      <c r="H292" s="1">
        <v>-18298.990000000002</v>
      </c>
      <c r="I292">
        <v>-18.29899</v>
      </c>
      <c r="J292" s="52" t="e">
        <f>INDEX('Plano de Contas'!#REF!,MATCH(tbDez16[[#This Row],[Conta]],'Plano de Contas'!#REF!,0))</f>
        <v>#REF!</v>
      </c>
      <c r="K292" s="52" t="e">
        <f>INDEX('Plano de Contas'!#REF!,MATCH(tbDez16[[#This Row],[Conta]],'Plano de Contas'!#REF!,0))</f>
        <v>#REF!</v>
      </c>
      <c r="L292" t="e">
        <f>INDEX('Plano de Contas'!#REF!,MATCH(tbDez16[[#This Row],[Conta]],'Plano de Contas'!#REF!,0))</f>
        <v>#REF!</v>
      </c>
    </row>
    <row r="293" spans="1:12" x14ac:dyDescent="0.25">
      <c r="A293" t="s">
        <v>676</v>
      </c>
      <c r="B293" t="s">
        <v>2083</v>
      </c>
      <c r="C293" t="s">
        <v>2084</v>
      </c>
      <c r="D293">
        <v>-18385.580000000002</v>
      </c>
      <c r="E293">
        <v>0</v>
      </c>
      <c r="F293">
        <v>0</v>
      </c>
      <c r="G293">
        <v>0</v>
      </c>
      <c r="H293" s="1">
        <v>-18385.580000000002</v>
      </c>
      <c r="I293">
        <v>-18.385580000000001</v>
      </c>
      <c r="J293" s="52" t="e">
        <f>INDEX('Plano de Contas'!#REF!,MATCH(tbDez16[[#This Row],[Conta]],'Plano de Contas'!#REF!,0))</f>
        <v>#REF!</v>
      </c>
      <c r="K293" s="52" t="e">
        <f>INDEX('Plano de Contas'!#REF!,MATCH(tbDez16[[#This Row],[Conta]],'Plano de Contas'!#REF!,0))</f>
        <v>#REF!</v>
      </c>
      <c r="L293" t="e">
        <f>INDEX('Plano de Contas'!#REF!,MATCH(tbDez16[[#This Row],[Conta]],'Plano de Contas'!#REF!,0))</f>
        <v>#REF!</v>
      </c>
    </row>
    <row r="294" spans="1:12" x14ac:dyDescent="0.25">
      <c r="A294" t="s">
        <v>1054</v>
      </c>
      <c r="B294" t="s">
        <v>2085</v>
      </c>
      <c r="C294" t="s">
        <v>2086</v>
      </c>
      <c r="D294">
        <v>-1421954979.8099999</v>
      </c>
      <c r="E294">
        <v>797140.02</v>
      </c>
      <c r="F294">
        <v>271027.61</v>
      </c>
      <c r="G294">
        <v>526112.41</v>
      </c>
      <c r="H294" s="1">
        <v>-1421428867.4000001</v>
      </c>
      <c r="I294">
        <v>-1421428.8674000001</v>
      </c>
      <c r="J294" s="52" t="e">
        <f>INDEX('Plano de Contas'!#REF!,MATCH(tbDez16[[#This Row],[Conta]],'Plano de Contas'!#REF!,0))</f>
        <v>#REF!</v>
      </c>
      <c r="K294" s="52" t="e">
        <f>INDEX('Plano de Contas'!#REF!,MATCH(tbDez16[[#This Row],[Conta]],'Plano de Contas'!#REF!,0))</f>
        <v>#REF!</v>
      </c>
      <c r="L294" t="e">
        <f>INDEX('Plano de Contas'!#REF!,MATCH(tbDez16[[#This Row],[Conta]],'Plano de Contas'!#REF!,0))</f>
        <v>#REF!</v>
      </c>
    </row>
    <row r="295" spans="1:12" x14ac:dyDescent="0.25">
      <c r="A295" t="s">
        <v>1056</v>
      </c>
      <c r="B295" t="s">
        <v>2087</v>
      </c>
      <c r="C295" t="s">
        <v>2088</v>
      </c>
      <c r="D295">
        <v>-2172811479.2399998</v>
      </c>
      <c r="E295">
        <v>0</v>
      </c>
      <c r="F295">
        <v>0</v>
      </c>
      <c r="G295">
        <v>0</v>
      </c>
      <c r="H295" s="1">
        <v>-2172811479.2399998</v>
      </c>
      <c r="I295">
        <v>-2172811.4792399998</v>
      </c>
      <c r="J295" s="52" t="e">
        <f>INDEX('Plano de Contas'!#REF!,MATCH(tbDez16[[#This Row],[Conta]],'Plano de Contas'!#REF!,0))</f>
        <v>#REF!</v>
      </c>
      <c r="K295" s="52" t="e">
        <f>INDEX('Plano de Contas'!#REF!,MATCH(tbDez16[[#This Row],[Conta]],'Plano de Contas'!#REF!,0))</f>
        <v>#REF!</v>
      </c>
      <c r="L295" t="e">
        <f>INDEX('Plano de Contas'!#REF!,MATCH(tbDez16[[#This Row],[Conta]],'Plano de Contas'!#REF!,0))</f>
        <v>#REF!</v>
      </c>
    </row>
    <row r="296" spans="1:12" x14ac:dyDescent="0.25">
      <c r="A296" t="s">
        <v>1208</v>
      </c>
      <c r="B296" t="s">
        <v>2089</v>
      </c>
      <c r="C296" t="s">
        <v>2090</v>
      </c>
      <c r="D296">
        <v>18334237.140000001</v>
      </c>
      <c r="E296">
        <v>797140.02</v>
      </c>
      <c r="F296">
        <v>0</v>
      </c>
      <c r="G296">
        <v>797140.02</v>
      </c>
      <c r="H296" s="1">
        <v>19131377.16</v>
      </c>
      <c r="I296">
        <v>19131.37716</v>
      </c>
      <c r="J296" s="52" t="e">
        <f>INDEX('Plano de Contas'!#REF!,MATCH(tbDez16[[#This Row],[Conta]],'Plano de Contas'!#REF!,0))</f>
        <v>#REF!</v>
      </c>
      <c r="K296" s="52" t="e">
        <f>INDEX('Plano de Contas'!#REF!,MATCH(tbDez16[[#This Row],[Conta]],'Plano de Contas'!#REF!,0))</f>
        <v>#REF!</v>
      </c>
      <c r="L296" t="e">
        <f>INDEX('Plano de Contas'!#REF!,MATCH(tbDez16[[#This Row],[Conta]],'Plano de Contas'!#REF!,0))</f>
        <v>#REF!</v>
      </c>
    </row>
    <row r="297" spans="1:12" x14ac:dyDescent="0.25">
      <c r="A297" t="s">
        <v>1210</v>
      </c>
      <c r="B297" t="s">
        <v>2091</v>
      </c>
      <c r="C297" t="s">
        <v>2092</v>
      </c>
      <c r="D297">
        <v>538619310.48000002</v>
      </c>
      <c r="E297">
        <v>0</v>
      </c>
      <c r="F297">
        <v>199285.01</v>
      </c>
      <c r="G297">
        <v>-199285.01</v>
      </c>
      <c r="H297" s="1">
        <v>538420025.47000003</v>
      </c>
      <c r="I297">
        <v>538420.02546999999</v>
      </c>
      <c r="J297" s="52" t="e">
        <f>INDEX('Plano de Contas'!#REF!,MATCH(tbDez16[[#This Row],[Conta]],'Plano de Contas'!#REF!,0))</f>
        <v>#REF!</v>
      </c>
      <c r="K297" s="52" t="e">
        <f>INDEX('Plano de Contas'!#REF!,MATCH(tbDez16[[#This Row],[Conta]],'Plano de Contas'!#REF!,0))</f>
        <v>#REF!</v>
      </c>
      <c r="L297" t="e">
        <f>INDEX('Plano de Contas'!#REF!,MATCH(tbDez16[[#This Row],[Conta]],'Plano de Contas'!#REF!,0))</f>
        <v>#REF!</v>
      </c>
    </row>
    <row r="298" spans="1:12" x14ac:dyDescent="0.25">
      <c r="A298" t="s">
        <v>1212</v>
      </c>
      <c r="B298" t="s">
        <v>2093</v>
      </c>
      <c r="C298" t="s">
        <v>2094</v>
      </c>
      <c r="D298">
        <v>193902951.81</v>
      </c>
      <c r="E298">
        <v>0</v>
      </c>
      <c r="F298">
        <v>71742.600000000006</v>
      </c>
      <c r="G298">
        <v>-71742.600000000006</v>
      </c>
      <c r="H298" s="1">
        <v>193831209.21000001</v>
      </c>
      <c r="I298">
        <v>193831.20921</v>
      </c>
      <c r="J298" s="52" t="e">
        <f>INDEX('Plano de Contas'!#REF!,MATCH(tbDez16[[#This Row],[Conta]],'Plano de Contas'!#REF!,0))</f>
        <v>#REF!</v>
      </c>
      <c r="K298" s="52" t="e">
        <f>INDEX('Plano de Contas'!#REF!,MATCH(tbDez16[[#This Row],[Conta]],'Plano de Contas'!#REF!,0))</f>
        <v>#REF!</v>
      </c>
      <c r="L298" t="e">
        <f>INDEX('Plano de Contas'!#REF!,MATCH(tbDez16[[#This Row],[Conta]],'Plano de Contas'!#REF!,0))</f>
        <v>#REF!</v>
      </c>
    </row>
    <row r="299" spans="1:12" x14ac:dyDescent="0.25">
      <c r="A299" t="s">
        <v>678</v>
      </c>
      <c r="B299" t="s">
        <v>2095</v>
      </c>
      <c r="C299" t="s">
        <v>2096</v>
      </c>
      <c r="D299">
        <v>-52275807.560000002</v>
      </c>
      <c r="E299">
        <v>0</v>
      </c>
      <c r="F299">
        <v>0</v>
      </c>
      <c r="G299">
        <v>0</v>
      </c>
      <c r="H299" s="1">
        <v>-52275807.560000002</v>
      </c>
      <c r="I299">
        <v>-52275.807560000001</v>
      </c>
      <c r="J299" s="52" t="e">
        <f>INDEX('Plano de Contas'!#REF!,MATCH(tbDez16[[#This Row],[Conta]],'Plano de Contas'!#REF!,0))</f>
        <v>#REF!</v>
      </c>
      <c r="K299" s="52" t="e">
        <f>INDEX('Plano de Contas'!#REF!,MATCH(tbDez16[[#This Row],[Conta]],'Plano de Contas'!#REF!,0))</f>
        <v>#REF!</v>
      </c>
      <c r="L299" t="e">
        <f>INDEX('Plano de Contas'!#REF!,MATCH(tbDez16[[#This Row],[Conta]],'Plano de Contas'!#REF!,0))</f>
        <v>#REF!</v>
      </c>
    </row>
    <row r="300" spans="1:12" x14ac:dyDescent="0.25">
      <c r="A300" t="s">
        <v>684</v>
      </c>
      <c r="B300" t="s">
        <v>2097</v>
      </c>
      <c r="C300" t="s">
        <v>2098</v>
      </c>
      <c r="D300">
        <v>-52275807.560000002</v>
      </c>
      <c r="E300">
        <v>0</v>
      </c>
      <c r="F300">
        <v>0</v>
      </c>
      <c r="G300">
        <v>0</v>
      </c>
      <c r="H300" s="1">
        <v>-52275807.560000002</v>
      </c>
      <c r="I300">
        <v>-52275.807560000001</v>
      </c>
      <c r="J300" s="52" t="e">
        <f>INDEX('Plano de Contas'!#REF!,MATCH(tbDez16[[#This Row],[Conta]],'Plano de Contas'!#REF!,0))</f>
        <v>#REF!</v>
      </c>
      <c r="K300" s="52" t="e">
        <f>INDEX('Plano de Contas'!#REF!,MATCH(tbDez16[[#This Row],[Conta]],'Plano de Contas'!#REF!,0))</f>
        <v>#REF!</v>
      </c>
      <c r="L300" t="e">
        <f>INDEX('Plano de Contas'!#REF!,MATCH(tbDez16[[#This Row],[Conta]],'Plano de Contas'!#REF!,0))</f>
        <v>#REF!</v>
      </c>
    </row>
    <row r="301" spans="1:12" x14ac:dyDescent="0.25">
      <c r="A301" t="s">
        <v>686</v>
      </c>
      <c r="B301" t="s">
        <v>2099</v>
      </c>
      <c r="C301" t="s">
        <v>2100</v>
      </c>
      <c r="D301">
        <v>-52275807.560000002</v>
      </c>
      <c r="E301">
        <v>0</v>
      </c>
      <c r="F301">
        <v>0</v>
      </c>
      <c r="G301">
        <v>0</v>
      </c>
      <c r="H301" s="1">
        <v>-52275807.560000002</v>
      </c>
      <c r="I301">
        <v>-52275.807560000001</v>
      </c>
      <c r="J301" s="52" t="e">
        <f>INDEX('Plano de Contas'!#REF!,MATCH(tbDez16[[#This Row],[Conta]],'Plano de Contas'!#REF!,0))</f>
        <v>#REF!</v>
      </c>
      <c r="K301" s="52" t="e">
        <f>INDEX('Plano de Contas'!#REF!,MATCH(tbDez16[[#This Row],[Conta]],'Plano de Contas'!#REF!,0))</f>
        <v>#REF!</v>
      </c>
      <c r="L301" t="e">
        <f>INDEX('Plano de Contas'!#REF!,MATCH(tbDez16[[#This Row],[Conta]],'Plano de Contas'!#REF!,0))</f>
        <v>#REF!</v>
      </c>
    </row>
    <row r="302" spans="1:12" x14ac:dyDescent="0.25">
      <c r="A302" t="s">
        <v>688</v>
      </c>
      <c r="B302" t="s">
        <v>2101</v>
      </c>
      <c r="C302" t="s">
        <v>2102</v>
      </c>
      <c r="D302">
        <v>-15175178.050000001</v>
      </c>
      <c r="E302">
        <v>746777.61</v>
      </c>
      <c r="F302">
        <v>797140.02</v>
      </c>
      <c r="G302">
        <v>-50362.410000000033</v>
      </c>
      <c r="H302" s="1">
        <v>-15225540.460000001</v>
      </c>
      <c r="I302">
        <v>-15225.54046</v>
      </c>
      <c r="J302" s="52" t="e">
        <f>INDEX('Plano de Contas'!#REF!,MATCH(tbDez16[[#This Row],[Conta]],'Plano de Contas'!#REF!,0))</f>
        <v>#REF!</v>
      </c>
      <c r="K302" s="52" t="e">
        <f>INDEX('Plano de Contas'!#REF!,MATCH(tbDez16[[#This Row],[Conta]],'Plano de Contas'!#REF!,0))</f>
        <v>#REF!</v>
      </c>
      <c r="L302" t="e">
        <f>INDEX('Plano de Contas'!#REF!,MATCH(tbDez16[[#This Row],[Conta]],'Plano de Contas'!#REF!,0))</f>
        <v>#REF!</v>
      </c>
    </row>
    <row r="303" spans="1:12" x14ac:dyDescent="0.25">
      <c r="A303" t="s">
        <v>690</v>
      </c>
      <c r="B303" t="s">
        <v>2103</v>
      </c>
      <c r="C303" t="s">
        <v>2104</v>
      </c>
      <c r="D303">
        <v>-15175178.050000001</v>
      </c>
      <c r="E303">
        <v>746777.61</v>
      </c>
      <c r="F303">
        <v>797140.02</v>
      </c>
      <c r="G303">
        <v>-50362.410000000033</v>
      </c>
      <c r="H303" s="1">
        <v>-15225540.460000001</v>
      </c>
      <c r="I303">
        <v>-15225.54046</v>
      </c>
      <c r="J303" s="52" t="e">
        <f>INDEX('Plano de Contas'!#REF!,MATCH(tbDez16[[#This Row],[Conta]],'Plano de Contas'!#REF!,0))</f>
        <v>#REF!</v>
      </c>
      <c r="K303" s="52" t="e">
        <f>INDEX('Plano de Contas'!#REF!,MATCH(tbDez16[[#This Row],[Conta]],'Plano de Contas'!#REF!,0))</f>
        <v>#REF!</v>
      </c>
      <c r="L303" t="e">
        <f>INDEX('Plano de Contas'!#REF!,MATCH(tbDez16[[#This Row],[Conta]],'Plano de Contas'!#REF!,0))</f>
        <v>#REF!</v>
      </c>
    </row>
    <row r="304" spans="1:12" x14ac:dyDescent="0.25">
      <c r="A304" t="s">
        <v>1220</v>
      </c>
      <c r="B304" t="s">
        <v>2105</v>
      </c>
      <c r="C304" t="s">
        <v>2106</v>
      </c>
      <c r="D304">
        <v>-8768540.2200000007</v>
      </c>
      <c r="E304">
        <v>0</v>
      </c>
      <c r="F304">
        <v>797140.02</v>
      </c>
      <c r="G304">
        <v>-797140.02</v>
      </c>
      <c r="H304" s="1">
        <v>-9565680.2400000002</v>
      </c>
      <c r="I304">
        <v>-9565.6802399999997</v>
      </c>
      <c r="J304" s="52" t="e">
        <f>INDEX('Plano de Contas'!#REF!,MATCH(tbDez16[[#This Row],[Conta]],'Plano de Contas'!#REF!,0))</f>
        <v>#REF!</v>
      </c>
      <c r="K304" s="52" t="e">
        <f>INDEX('Plano de Contas'!#REF!,MATCH(tbDez16[[#This Row],[Conta]],'Plano de Contas'!#REF!,0))</f>
        <v>#REF!</v>
      </c>
      <c r="L304" t="e">
        <f>INDEX('Plano de Contas'!#REF!,MATCH(tbDez16[[#This Row],[Conta]],'Plano de Contas'!#REF!,0))</f>
        <v>#REF!</v>
      </c>
    </row>
    <row r="305" spans="1:12" x14ac:dyDescent="0.25">
      <c r="A305" t="s">
        <v>1222</v>
      </c>
      <c r="B305" t="s">
        <v>2107</v>
      </c>
      <c r="C305" t="s">
        <v>2108</v>
      </c>
      <c r="D305">
        <v>6233640.6500000004</v>
      </c>
      <c r="E305">
        <v>746777.61</v>
      </c>
      <c r="F305">
        <v>0</v>
      </c>
      <c r="G305">
        <v>746777.61</v>
      </c>
      <c r="H305" s="1">
        <v>6980418.2599999998</v>
      </c>
      <c r="I305">
        <v>6980.4182599999995</v>
      </c>
      <c r="J305" s="52" t="e">
        <f>INDEX('Plano de Contas'!#REF!,MATCH(tbDez16[[#This Row],[Conta]],'Plano de Contas'!#REF!,0))</f>
        <v>#REF!</v>
      </c>
      <c r="K305" s="52" t="e">
        <f>INDEX('Plano de Contas'!#REF!,MATCH(tbDez16[[#This Row],[Conta]],'Plano de Contas'!#REF!,0))</f>
        <v>#REF!</v>
      </c>
      <c r="L305" t="e">
        <f>INDEX('Plano de Contas'!#REF!,MATCH(tbDez16[[#This Row],[Conta]],'Plano de Contas'!#REF!,0))</f>
        <v>#REF!</v>
      </c>
    </row>
    <row r="306" spans="1:12" x14ac:dyDescent="0.25">
      <c r="A306" t="s">
        <v>1224</v>
      </c>
      <c r="B306" t="s">
        <v>2109</v>
      </c>
      <c r="C306" t="s">
        <v>2110</v>
      </c>
      <c r="D306">
        <v>-12640278.48</v>
      </c>
      <c r="E306">
        <v>0</v>
      </c>
      <c r="F306">
        <v>0</v>
      </c>
      <c r="G306">
        <v>0</v>
      </c>
      <c r="H306" s="1">
        <v>-12640278.48</v>
      </c>
      <c r="I306">
        <v>-12640.278480000001</v>
      </c>
      <c r="J306" s="52" t="e">
        <f>INDEX('Plano de Contas'!#REF!,MATCH(tbDez16[[#This Row],[Conta]],'Plano de Contas'!#REF!,0))</f>
        <v>#REF!</v>
      </c>
      <c r="K306" s="52" t="e">
        <f>INDEX('Plano de Contas'!#REF!,MATCH(tbDez16[[#This Row],[Conta]],'Plano de Contas'!#REF!,0))</f>
        <v>#REF!</v>
      </c>
      <c r="L306" t="e">
        <f>INDEX('Plano de Contas'!#REF!,MATCH(tbDez16[[#This Row],[Conta]],'Plano de Contas'!#REF!,0))</f>
        <v>#REF!</v>
      </c>
    </row>
    <row r="307" spans="1:12" x14ac:dyDescent="0.25">
      <c r="A307" t="s">
        <v>2111</v>
      </c>
      <c r="B307" t="s">
        <v>2112</v>
      </c>
      <c r="C307" t="s">
        <v>2113</v>
      </c>
      <c r="D307">
        <v>-11599468.74</v>
      </c>
      <c r="E307">
        <v>18713311.629999999</v>
      </c>
      <c r="F307">
        <v>20024029.66</v>
      </c>
      <c r="G307">
        <v>-1310718.0300000012</v>
      </c>
      <c r="H307" s="1">
        <v>-12910186.77</v>
      </c>
      <c r="I307">
        <v>-12910.18677</v>
      </c>
      <c r="J307" s="52" t="e">
        <f>INDEX('Plano de Contas'!#REF!,MATCH(tbDez16[[#This Row],[Conta]],'Plano de Contas'!#REF!,0))</f>
        <v>#REF!</v>
      </c>
      <c r="K307" s="52" t="e">
        <f>INDEX('Plano de Contas'!#REF!,MATCH(tbDez16[[#This Row],[Conta]],'Plano de Contas'!#REF!,0))</f>
        <v>#REF!</v>
      </c>
      <c r="L307" t="e">
        <f>INDEX('Plano de Contas'!#REF!,MATCH(tbDez16[[#This Row],[Conta]],'Plano de Contas'!#REF!,0))</f>
        <v>#REF!</v>
      </c>
    </row>
    <row r="308" spans="1:12" x14ac:dyDescent="0.25">
      <c r="A308" t="s">
        <v>735</v>
      </c>
      <c r="B308" t="s">
        <v>2114</v>
      </c>
      <c r="C308" t="s">
        <v>2115</v>
      </c>
      <c r="D308">
        <v>-26788973.350000001</v>
      </c>
      <c r="E308">
        <v>18705741.940000001</v>
      </c>
      <c r="F308">
        <v>16338796.390000001</v>
      </c>
      <c r="G308">
        <v>2366945.5500000007</v>
      </c>
      <c r="H308" s="1">
        <v>-24422027.800000001</v>
      </c>
      <c r="I308">
        <v>-24422.0278</v>
      </c>
      <c r="J308" s="52" t="e">
        <f>INDEX('Plano de Contas'!#REF!,MATCH(tbDez16[[#This Row],[Conta]],'Plano de Contas'!#REF!,0))</f>
        <v>#REF!</v>
      </c>
      <c r="K308" s="52" t="e">
        <f>INDEX('Plano de Contas'!#REF!,MATCH(tbDez16[[#This Row],[Conta]],'Plano de Contas'!#REF!,0))</f>
        <v>#REF!</v>
      </c>
      <c r="L308" t="e">
        <f>INDEX('Plano de Contas'!#REF!,MATCH(tbDez16[[#This Row],[Conta]],'Plano de Contas'!#REF!,0))</f>
        <v>#REF!</v>
      </c>
    </row>
    <row r="309" spans="1:12" x14ac:dyDescent="0.25">
      <c r="A309" t="s">
        <v>737</v>
      </c>
      <c r="B309" t="s">
        <v>2116</v>
      </c>
      <c r="C309" t="s">
        <v>2117</v>
      </c>
      <c r="D309">
        <v>-139886502.97999999</v>
      </c>
      <c r="E309">
        <v>1801641.56</v>
      </c>
      <c r="F309">
        <v>14845120.189999999</v>
      </c>
      <c r="G309">
        <v>-13043478.629999999</v>
      </c>
      <c r="H309" s="1">
        <v>-152929981.61000001</v>
      </c>
      <c r="I309">
        <v>-152929.98161000002</v>
      </c>
      <c r="J309" s="52" t="e">
        <f>INDEX('Plano de Contas'!#REF!,MATCH(tbDez16[[#This Row],[Conta]],'Plano de Contas'!#REF!,0))</f>
        <v>#REF!</v>
      </c>
      <c r="K309" s="52" t="e">
        <f>INDEX('Plano de Contas'!#REF!,MATCH(tbDez16[[#This Row],[Conta]],'Plano de Contas'!#REF!,0))</f>
        <v>#REF!</v>
      </c>
      <c r="L309" t="e">
        <f>INDEX('Plano de Contas'!#REF!,MATCH(tbDez16[[#This Row],[Conta]],'Plano de Contas'!#REF!,0))</f>
        <v>#REF!</v>
      </c>
    </row>
    <row r="310" spans="1:12" x14ac:dyDescent="0.25">
      <c r="A310" t="s">
        <v>739</v>
      </c>
      <c r="B310" t="s">
        <v>2118</v>
      </c>
      <c r="C310" t="s">
        <v>2119</v>
      </c>
      <c r="D310">
        <v>-158535801.34999999</v>
      </c>
      <c r="E310">
        <v>42781.25</v>
      </c>
      <c r="F310">
        <v>14834928.15</v>
      </c>
      <c r="G310">
        <v>-14792146.9</v>
      </c>
      <c r="H310" s="1">
        <v>-173327948.25</v>
      </c>
      <c r="I310">
        <v>-173327.94824999999</v>
      </c>
      <c r="J310" s="52" t="e">
        <f>INDEX('Plano de Contas'!#REF!,MATCH(tbDez16[[#This Row],[Conta]],'Plano de Contas'!#REF!,0))</f>
        <v>#REF!</v>
      </c>
      <c r="K310" s="52" t="e">
        <f>INDEX('Plano de Contas'!#REF!,MATCH(tbDez16[[#This Row],[Conta]],'Plano de Contas'!#REF!,0))</f>
        <v>#REF!</v>
      </c>
      <c r="L310" t="e">
        <f>INDEX('Plano de Contas'!#REF!,MATCH(tbDez16[[#This Row],[Conta]],'Plano de Contas'!#REF!,0))</f>
        <v>#REF!</v>
      </c>
    </row>
    <row r="311" spans="1:12" x14ac:dyDescent="0.25">
      <c r="A311" t="s">
        <v>741</v>
      </c>
      <c r="B311" t="s">
        <v>2120</v>
      </c>
      <c r="C311" t="s">
        <v>2121</v>
      </c>
      <c r="D311">
        <v>-66430604.890000001</v>
      </c>
      <c r="E311">
        <v>0</v>
      </c>
      <c r="F311">
        <v>4896039.5</v>
      </c>
      <c r="G311">
        <v>-4896039.5</v>
      </c>
      <c r="H311" s="1">
        <v>-71326644.390000001</v>
      </c>
      <c r="I311">
        <v>-71326.644390000001</v>
      </c>
      <c r="J311" s="52" t="e">
        <f>INDEX('Plano de Contas'!#REF!,MATCH(tbDez16[[#This Row],[Conta]],'Plano de Contas'!#REF!,0))</f>
        <v>#REF!</v>
      </c>
      <c r="K311" s="52" t="e">
        <f>INDEX('Plano de Contas'!#REF!,MATCH(tbDez16[[#This Row],[Conta]],'Plano de Contas'!#REF!,0))</f>
        <v>#REF!</v>
      </c>
      <c r="L311" t="e">
        <f>INDEX('Plano de Contas'!#REF!,MATCH(tbDez16[[#This Row],[Conta]],'Plano de Contas'!#REF!,0))</f>
        <v>#REF!</v>
      </c>
    </row>
    <row r="312" spans="1:12" x14ac:dyDescent="0.25">
      <c r="A312" t="s">
        <v>743</v>
      </c>
      <c r="B312" t="s">
        <v>2122</v>
      </c>
      <c r="C312" t="s">
        <v>2123</v>
      </c>
      <c r="D312">
        <v>-1262351.68</v>
      </c>
      <c r="E312">
        <v>0</v>
      </c>
      <c r="F312">
        <v>208333.34</v>
      </c>
      <c r="G312">
        <v>-208333.34</v>
      </c>
      <c r="H312" s="1">
        <v>-1470685.02</v>
      </c>
      <c r="I312">
        <v>-1470.6850200000001</v>
      </c>
      <c r="J312" s="52" t="e">
        <f>INDEX('Plano de Contas'!#REF!,MATCH(tbDez16[[#This Row],[Conta]],'Plano de Contas'!#REF!,0))</f>
        <v>#REF!</v>
      </c>
      <c r="K312" s="52" t="e">
        <f>INDEX('Plano de Contas'!#REF!,MATCH(tbDez16[[#This Row],[Conta]],'Plano de Contas'!#REF!,0))</f>
        <v>#REF!</v>
      </c>
      <c r="L312" t="e">
        <f>INDEX('Plano de Contas'!#REF!,MATCH(tbDez16[[#This Row],[Conta]],'Plano de Contas'!#REF!,0))</f>
        <v>#REF!</v>
      </c>
    </row>
    <row r="313" spans="1:12" x14ac:dyDescent="0.25">
      <c r="A313" t="s">
        <v>745</v>
      </c>
      <c r="B313" t="s">
        <v>2124</v>
      </c>
      <c r="C313" t="s">
        <v>2125</v>
      </c>
      <c r="D313">
        <v>-8067174.8799999999</v>
      </c>
      <c r="E313">
        <v>42781.25</v>
      </c>
      <c r="F313">
        <v>1497543.57</v>
      </c>
      <c r="G313">
        <v>-1454762.32</v>
      </c>
      <c r="H313" s="1">
        <v>-9521937.1999999993</v>
      </c>
      <c r="I313">
        <v>-9521.9371999999985</v>
      </c>
      <c r="J313" s="52" t="e">
        <f>INDEX('Plano de Contas'!#REF!,MATCH(tbDez16[[#This Row],[Conta]],'Plano de Contas'!#REF!,0))</f>
        <v>#REF!</v>
      </c>
      <c r="K313" s="52" t="e">
        <f>INDEX('Plano de Contas'!#REF!,MATCH(tbDez16[[#This Row],[Conta]],'Plano de Contas'!#REF!,0))</f>
        <v>#REF!</v>
      </c>
      <c r="L313" t="e">
        <f>INDEX('Plano de Contas'!#REF!,MATCH(tbDez16[[#This Row],[Conta]],'Plano de Contas'!#REF!,0))</f>
        <v>#REF!</v>
      </c>
    </row>
    <row r="314" spans="1:12" x14ac:dyDescent="0.25">
      <c r="A314" t="s">
        <v>747</v>
      </c>
      <c r="B314" t="s">
        <v>2126</v>
      </c>
      <c r="C314" t="s">
        <v>2127</v>
      </c>
      <c r="D314">
        <v>-81257584.239999995</v>
      </c>
      <c r="E314">
        <v>0</v>
      </c>
      <c r="F314">
        <v>8057439.1699999999</v>
      </c>
      <c r="G314">
        <v>-8057439.1699999999</v>
      </c>
      <c r="H314" s="1">
        <v>-89315023.409999996</v>
      </c>
      <c r="I314">
        <v>-89315.023409999994</v>
      </c>
      <c r="J314" s="52" t="e">
        <f>INDEX('Plano de Contas'!#REF!,MATCH(tbDez16[[#This Row],[Conta]],'Plano de Contas'!#REF!,0))</f>
        <v>#REF!</v>
      </c>
      <c r="K314" s="52" t="e">
        <f>INDEX('Plano de Contas'!#REF!,MATCH(tbDez16[[#This Row],[Conta]],'Plano de Contas'!#REF!,0))</f>
        <v>#REF!</v>
      </c>
      <c r="L314" t="e">
        <f>INDEX('Plano de Contas'!#REF!,MATCH(tbDez16[[#This Row],[Conta]],'Plano de Contas'!#REF!,0))</f>
        <v>#REF!</v>
      </c>
    </row>
    <row r="315" spans="1:12" x14ac:dyDescent="0.25">
      <c r="A315" t="s">
        <v>1060</v>
      </c>
      <c r="B315" t="s">
        <v>2128</v>
      </c>
      <c r="C315" t="s">
        <v>2129</v>
      </c>
      <c r="D315">
        <v>-1472202.68</v>
      </c>
      <c r="E315">
        <v>0</v>
      </c>
      <c r="F315">
        <v>170821.85</v>
      </c>
      <c r="G315">
        <v>-170821.85</v>
      </c>
      <c r="H315" s="1">
        <v>-1643024.53</v>
      </c>
      <c r="I315">
        <v>-1643.0245300000001</v>
      </c>
      <c r="J315" s="52" t="e">
        <f>INDEX('Plano de Contas'!#REF!,MATCH(tbDez16[[#This Row],[Conta]],'Plano de Contas'!#REF!,0))</f>
        <v>#REF!</v>
      </c>
      <c r="K315" s="52" t="e">
        <f>INDEX('Plano de Contas'!#REF!,MATCH(tbDez16[[#This Row],[Conta]],'Plano de Contas'!#REF!,0))</f>
        <v>#REF!</v>
      </c>
      <c r="L315" t="e">
        <f>INDEX('Plano de Contas'!#REF!,MATCH(tbDez16[[#This Row],[Conta]],'Plano de Contas'!#REF!,0))</f>
        <v>#REF!</v>
      </c>
    </row>
    <row r="316" spans="1:12" x14ac:dyDescent="0.25">
      <c r="A316" t="s">
        <v>1225</v>
      </c>
      <c r="B316" t="s">
        <v>2130</v>
      </c>
      <c r="C316" t="s">
        <v>2131</v>
      </c>
      <c r="D316">
        <v>-45882.98</v>
      </c>
      <c r="E316">
        <v>0</v>
      </c>
      <c r="F316">
        <v>4750.72</v>
      </c>
      <c r="G316">
        <v>-4750.72</v>
      </c>
      <c r="H316" s="1">
        <v>-50633.7</v>
      </c>
      <c r="I316">
        <v>-50.633699999999997</v>
      </c>
      <c r="J316" s="52" t="e">
        <f>INDEX('Plano de Contas'!#REF!,MATCH(tbDez16[[#This Row],[Conta]],'Plano de Contas'!#REF!,0))</f>
        <v>#REF!</v>
      </c>
      <c r="K316" s="52" t="e">
        <f>INDEX('Plano de Contas'!#REF!,MATCH(tbDez16[[#This Row],[Conta]],'Plano de Contas'!#REF!,0))</f>
        <v>#REF!</v>
      </c>
      <c r="L316" t="e">
        <f>INDEX('Plano de Contas'!#REF!,MATCH(tbDez16[[#This Row],[Conta]],'Plano de Contas'!#REF!,0))</f>
        <v>#REF!</v>
      </c>
    </row>
    <row r="317" spans="1:12" x14ac:dyDescent="0.25">
      <c r="A317" t="s">
        <v>751</v>
      </c>
      <c r="B317" t="s">
        <v>2132</v>
      </c>
      <c r="C317" t="s">
        <v>2133</v>
      </c>
      <c r="D317">
        <v>18649298.370000001</v>
      </c>
      <c r="E317">
        <v>1758860.31</v>
      </c>
      <c r="F317">
        <v>10192.040000000001</v>
      </c>
      <c r="G317">
        <v>1748668.27</v>
      </c>
      <c r="H317" s="1">
        <v>20397966.640000001</v>
      </c>
      <c r="I317">
        <v>20397.966640000002</v>
      </c>
      <c r="J317" s="52" t="e">
        <f>INDEX('Plano de Contas'!#REF!,MATCH(tbDez16[[#This Row],[Conta]],'Plano de Contas'!#REF!,0))</f>
        <v>#REF!</v>
      </c>
      <c r="K317" s="52" t="e">
        <f>INDEX('Plano de Contas'!#REF!,MATCH(tbDez16[[#This Row],[Conta]],'Plano de Contas'!#REF!,0))</f>
        <v>#REF!</v>
      </c>
      <c r="L317" t="e">
        <f>INDEX('Plano de Contas'!#REF!,MATCH(tbDez16[[#This Row],[Conta]],'Plano de Contas'!#REF!,0))</f>
        <v>#REF!</v>
      </c>
    </row>
    <row r="318" spans="1:12" x14ac:dyDescent="0.25">
      <c r="A318" t="s">
        <v>753</v>
      </c>
      <c r="B318" t="s">
        <v>2134</v>
      </c>
      <c r="C318" t="s">
        <v>2135</v>
      </c>
      <c r="D318">
        <v>2611248.1</v>
      </c>
      <c r="E318">
        <v>243348.88</v>
      </c>
      <c r="F318">
        <v>1365.89</v>
      </c>
      <c r="G318">
        <v>241982.99</v>
      </c>
      <c r="H318" s="1">
        <v>2853231.09</v>
      </c>
      <c r="I318">
        <v>2853.2310899999998</v>
      </c>
      <c r="J318" s="52" t="e">
        <f>INDEX('Plano de Contas'!#REF!,MATCH(tbDez16[[#This Row],[Conta]],'Plano de Contas'!#REF!,0))</f>
        <v>#REF!</v>
      </c>
      <c r="K318" s="52" t="e">
        <f>INDEX('Plano de Contas'!#REF!,MATCH(tbDez16[[#This Row],[Conta]],'Plano de Contas'!#REF!,0))</f>
        <v>#REF!</v>
      </c>
      <c r="L318" t="e">
        <f>INDEX('Plano de Contas'!#REF!,MATCH(tbDez16[[#This Row],[Conta]],'Plano de Contas'!#REF!,0))</f>
        <v>#REF!</v>
      </c>
    </row>
    <row r="319" spans="1:12" x14ac:dyDescent="0.25">
      <c r="A319" t="s">
        <v>755</v>
      </c>
      <c r="B319" t="s">
        <v>2136</v>
      </c>
      <c r="C319" t="s">
        <v>1967</v>
      </c>
      <c r="D319">
        <v>12028161.08</v>
      </c>
      <c r="E319">
        <v>1121531.97</v>
      </c>
      <c r="F319">
        <v>6943.65</v>
      </c>
      <c r="G319">
        <v>1114588.32</v>
      </c>
      <c r="H319" s="1">
        <v>13142749.4</v>
      </c>
      <c r="I319">
        <v>13142.749400000001</v>
      </c>
      <c r="J319" s="52" t="e">
        <f>INDEX('Plano de Contas'!#REF!,MATCH(tbDez16[[#This Row],[Conta]],'Plano de Contas'!#REF!,0))</f>
        <v>#REF!</v>
      </c>
      <c r="K319" s="52" t="e">
        <f>INDEX('Plano de Contas'!#REF!,MATCH(tbDez16[[#This Row],[Conta]],'Plano de Contas'!#REF!,0))</f>
        <v>#REF!</v>
      </c>
      <c r="L319" t="e">
        <f>INDEX('Plano de Contas'!#REF!,MATCH(tbDez16[[#This Row],[Conta]],'Plano de Contas'!#REF!,0))</f>
        <v>#REF!</v>
      </c>
    </row>
    <row r="320" spans="1:12" x14ac:dyDescent="0.25">
      <c r="A320" t="s">
        <v>756</v>
      </c>
      <c r="B320" t="s">
        <v>2137</v>
      </c>
      <c r="C320" t="s">
        <v>2138</v>
      </c>
      <c r="D320">
        <v>3855194.34</v>
      </c>
      <c r="E320">
        <v>336737.02</v>
      </c>
      <c r="F320">
        <v>1882.5</v>
      </c>
      <c r="G320">
        <v>334854.52</v>
      </c>
      <c r="H320" s="1">
        <v>4190048.86</v>
      </c>
      <c r="I320">
        <v>4190.0488599999999</v>
      </c>
      <c r="J320" s="52" t="e">
        <f>INDEX('Plano de Contas'!#REF!,MATCH(tbDez16[[#This Row],[Conta]],'Plano de Contas'!#REF!,0))</f>
        <v>#REF!</v>
      </c>
      <c r="K320" s="52" t="e">
        <f>INDEX('Plano de Contas'!#REF!,MATCH(tbDez16[[#This Row],[Conta]],'Plano de Contas'!#REF!,0))</f>
        <v>#REF!</v>
      </c>
      <c r="L320" t="e">
        <f>INDEX('Plano de Contas'!#REF!,MATCH(tbDez16[[#This Row],[Conta]],'Plano de Contas'!#REF!,0))</f>
        <v>#REF!</v>
      </c>
    </row>
    <row r="321" spans="1:12" x14ac:dyDescent="0.25">
      <c r="A321" t="s">
        <v>758</v>
      </c>
      <c r="B321" t="s">
        <v>2139</v>
      </c>
      <c r="C321" t="s">
        <v>2140</v>
      </c>
      <c r="D321">
        <v>138467.03</v>
      </c>
      <c r="E321">
        <v>19592.52</v>
      </c>
      <c r="F321">
        <v>0</v>
      </c>
      <c r="G321">
        <v>19592.52</v>
      </c>
      <c r="H321" s="1">
        <v>158059.54999999999</v>
      </c>
      <c r="I321">
        <v>158.05955</v>
      </c>
      <c r="J321" s="52" t="e">
        <f>INDEX('Plano de Contas'!#REF!,MATCH(tbDez16[[#This Row],[Conta]],'Plano de Contas'!#REF!,0))</f>
        <v>#REF!</v>
      </c>
      <c r="K321" s="52" t="e">
        <f>INDEX('Plano de Contas'!#REF!,MATCH(tbDez16[[#This Row],[Conta]],'Plano de Contas'!#REF!,0))</f>
        <v>#REF!</v>
      </c>
      <c r="L321" t="e">
        <f>INDEX('Plano de Contas'!#REF!,MATCH(tbDez16[[#This Row],[Conta]],'Plano de Contas'!#REF!,0))</f>
        <v>#REF!</v>
      </c>
    </row>
    <row r="322" spans="1:12" x14ac:dyDescent="0.25">
      <c r="A322" t="s">
        <v>1062</v>
      </c>
      <c r="B322" t="s">
        <v>2141</v>
      </c>
      <c r="C322" t="s">
        <v>2142</v>
      </c>
      <c r="D322">
        <v>16227.82</v>
      </c>
      <c r="E322">
        <v>37649.919999999998</v>
      </c>
      <c r="F322">
        <v>0</v>
      </c>
      <c r="G322">
        <v>37649.919999999998</v>
      </c>
      <c r="H322" s="1">
        <v>53877.74</v>
      </c>
      <c r="I322">
        <v>53.877739999999996</v>
      </c>
      <c r="J322" s="52" t="e">
        <f>INDEX('Plano de Contas'!#REF!,MATCH(tbDez16[[#This Row],[Conta]],'Plano de Contas'!#REF!,0))</f>
        <v>#REF!</v>
      </c>
      <c r="K322" s="52" t="e">
        <f>INDEX('Plano de Contas'!#REF!,MATCH(tbDez16[[#This Row],[Conta]],'Plano de Contas'!#REF!,0))</f>
        <v>#REF!</v>
      </c>
      <c r="L322" t="e">
        <f>INDEX('Plano de Contas'!#REF!,MATCH(tbDez16[[#This Row],[Conta]],'Plano de Contas'!#REF!,0))</f>
        <v>#REF!</v>
      </c>
    </row>
    <row r="323" spans="1:12" x14ac:dyDescent="0.25">
      <c r="A323" t="s">
        <v>762</v>
      </c>
      <c r="B323" t="s">
        <v>2143</v>
      </c>
      <c r="C323" t="s">
        <v>2144</v>
      </c>
      <c r="D323">
        <v>113097529.63</v>
      </c>
      <c r="E323">
        <v>16904100.379999999</v>
      </c>
      <c r="F323">
        <v>1493676.2</v>
      </c>
      <c r="G323">
        <v>15410424.18</v>
      </c>
      <c r="H323" s="1">
        <v>128507953.81</v>
      </c>
      <c r="I323">
        <v>128507.95381000001</v>
      </c>
      <c r="J323" s="52" t="e">
        <f>INDEX('Plano de Contas'!#REF!,MATCH(tbDez16[[#This Row],[Conta]],'Plano de Contas'!#REF!,0))</f>
        <v>#REF!</v>
      </c>
      <c r="K323" s="52" t="e">
        <f>INDEX('Plano de Contas'!#REF!,MATCH(tbDez16[[#This Row],[Conta]],'Plano de Contas'!#REF!,0))</f>
        <v>#REF!</v>
      </c>
      <c r="L323" t="e">
        <f>INDEX('Plano de Contas'!#REF!,MATCH(tbDez16[[#This Row],[Conta]],'Plano de Contas'!#REF!,0))</f>
        <v>#REF!</v>
      </c>
    </row>
    <row r="324" spans="1:12" x14ac:dyDescent="0.25">
      <c r="A324" t="s">
        <v>764</v>
      </c>
      <c r="B324" t="s">
        <v>2145</v>
      </c>
      <c r="C324" t="s">
        <v>2146</v>
      </c>
      <c r="D324">
        <v>1381331.9</v>
      </c>
      <c r="E324">
        <v>115157.41</v>
      </c>
      <c r="F324">
        <v>0</v>
      </c>
      <c r="G324">
        <v>115157.41</v>
      </c>
      <c r="H324" s="1">
        <v>1496489.31</v>
      </c>
      <c r="I324">
        <v>1496.4893100000002</v>
      </c>
      <c r="J324" s="52" t="e">
        <f>INDEX('Plano de Contas'!#REF!,MATCH(tbDez16[[#This Row],[Conta]],'Plano de Contas'!#REF!,0))</f>
        <v>#REF!</v>
      </c>
      <c r="K324" s="52" t="e">
        <f>INDEX('Plano de Contas'!#REF!,MATCH(tbDez16[[#This Row],[Conta]],'Plano de Contas'!#REF!,0))</f>
        <v>#REF!</v>
      </c>
      <c r="L324" t="e">
        <f>INDEX('Plano de Contas'!#REF!,MATCH(tbDez16[[#This Row],[Conta]],'Plano de Contas'!#REF!,0))</f>
        <v>#REF!</v>
      </c>
    </row>
    <row r="325" spans="1:12" x14ac:dyDescent="0.25">
      <c r="A325" t="s">
        <v>766</v>
      </c>
      <c r="B325" t="s">
        <v>2147</v>
      </c>
      <c r="C325" t="s">
        <v>2148</v>
      </c>
      <c r="D325">
        <v>106123.9</v>
      </c>
      <c r="E325">
        <v>12021.41</v>
      </c>
      <c r="F325">
        <v>0</v>
      </c>
      <c r="G325">
        <v>12021.41</v>
      </c>
      <c r="H325" s="1">
        <v>118145.31</v>
      </c>
      <c r="I325">
        <v>118.14530999999999</v>
      </c>
      <c r="J325" s="52" t="e">
        <f>INDEX('Plano de Contas'!#REF!,MATCH(tbDez16[[#This Row],[Conta]],'Plano de Contas'!#REF!,0))</f>
        <v>#REF!</v>
      </c>
      <c r="K325" s="52" t="e">
        <f>INDEX('Plano de Contas'!#REF!,MATCH(tbDez16[[#This Row],[Conta]],'Plano de Contas'!#REF!,0))</f>
        <v>#REF!</v>
      </c>
      <c r="L325" t="e">
        <f>INDEX('Plano de Contas'!#REF!,MATCH(tbDez16[[#This Row],[Conta]],'Plano de Contas'!#REF!,0))</f>
        <v>#REF!</v>
      </c>
    </row>
    <row r="326" spans="1:12" x14ac:dyDescent="0.25">
      <c r="A326" t="s">
        <v>768</v>
      </c>
      <c r="B326" t="s">
        <v>2149</v>
      </c>
      <c r="C326" t="s">
        <v>2150</v>
      </c>
      <c r="D326">
        <v>1275208</v>
      </c>
      <c r="E326">
        <v>103136</v>
      </c>
      <c r="F326">
        <v>0</v>
      </c>
      <c r="G326">
        <v>103136</v>
      </c>
      <c r="H326" s="1">
        <v>1378344</v>
      </c>
      <c r="I326">
        <v>1378.3440000000001</v>
      </c>
      <c r="J326" s="52" t="e">
        <f>INDEX('Plano de Contas'!#REF!,MATCH(tbDez16[[#This Row],[Conta]],'Plano de Contas'!#REF!,0))</f>
        <v>#REF!</v>
      </c>
      <c r="K326" s="52" t="e">
        <f>INDEX('Plano de Contas'!#REF!,MATCH(tbDez16[[#This Row],[Conta]],'Plano de Contas'!#REF!,0))</f>
        <v>#REF!</v>
      </c>
      <c r="L326" t="e">
        <f>INDEX('Plano de Contas'!#REF!,MATCH(tbDez16[[#This Row],[Conta]],'Plano de Contas'!#REF!,0))</f>
        <v>#REF!</v>
      </c>
    </row>
    <row r="327" spans="1:12" x14ac:dyDescent="0.25">
      <c r="A327" t="s">
        <v>770</v>
      </c>
      <c r="B327" t="s">
        <v>2151</v>
      </c>
      <c r="C327" t="s">
        <v>2152</v>
      </c>
      <c r="D327">
        <v>40828059.549999997</v>
      </c>
      <c r="E327">
        <v>4830778.16</v>
      </c>
      <c r="F327">
        <v>245943.93</v>
      </c>
      <c r="G327">
        <v>4584834.2300000004</v>
      </c>
      <c r="H327" s="1">
        <v>45412893.780000001</v>
      </c>
      <c r="I327">
        <v>45412.893779999999</v>
      </c>
      <c r="J327" s="52" t="e">
        <f>INDEX('Plano de Contas'!#REF!,MATCH(tbDez16[[#This Row],[Conta]],'Plano de Contas'!#REF!,0))</f>
        <v>#REF!</v>
      </c>
      <c r="K327" s="52" t="e">
        <f>INDEX('Plano de Contas'!#REF!,MATCH(tbDez16[[#This Row],[Conta]],'Plano de Contas'!#REF!,0))</f>
        <v>#REF!</v>
      </c>
      <c r="L327" t="e">
        <f>INDEX('Plano de Contas'!#REF!,MATCH(tbDez16[[#This Row],[Conta]],'Plano de Contas'!#REF!,0))</f>
        <v>#REF!</v>
      </c>
    </row>
    <row r="328" spans="1:12" x14ac:dyDescent="0.25">
      <c r="A328" t="s">
        <v>772</v>
      </c>
      <c r="B328" t="s">
        <v>2153</v>
      </c>
      <c r="C328" t="s">
        <v>2154</v>
      </c>
      <c r="D328">
        <v>13066651.18</v>
      </c>
      <c r="E328">
        <v>1214146.5</v>
      </c>
      <c r="F328">
        <v>18686.75</v>
      </c>
      <c r="G328">
        <v>1195459.75</v>
      </c>
      <c r="H328" s="1">
        <v>14262110.93</v>
      </c>
      <c r="I328">
        <v>14262.110929999999</v>
      </c>
      <c r="J328" s="52" t="e">
        <f>INDEX('Plano de Contas'!#REF!,MATCH(tbDez16[[#This Row],[Conta]],'Plano de Contas'!#REF!,0))</f>
        <v>#REF!</v>
      </c>
      <c r="K328" s="52" t="e">
        <f>INDEX('Plano de Contas'!#REF!,MATCH(tbDez16[[#This Row],[Conta]],'Plano de Contas'!#REF!,0))</f>
        <v>#REF!</v>
      </c>
      <c r="L328" t="e">
        <f>INDEX('Plano de Contas'!#REF!,MATCH(tbDez16[[#This Row],[Conta]],'Plano de Contas'!#REF!,0))</f>
        <v>#REF!</v>
      </c>
    </row>
    <row r="329" spans="1:12" x14ac:dyDescent="0.25">
      <c r="A329" t="s">
        <v>774</v>
      </c>
      <c r="B329" t="s">
        <v>2155</v>
      </c>
      <c r="C329" t="s">
        <v>2156</v>
      </c>
      <c r="D329">
        <v>602484.65</v>
      </c>
      <c r="E329">
        <v>0</v>
      </c>
      <c r="F329">
        <v>0</v>
      </c>
      <c r="G329">
        <v>0</v>
      </c>
      <c r="H329" s="1">
        <v>602484.65</v>
      </c>
      <c r="I329">
        <v>602.48464999999999</v>
      </c>
      <c r="J329" s="52" t="e">
        <f>INDEX('Plano de Contas'!#REF!,MATCH(tbDez16[[#This Row],[Conta]],'Plano de Contas'!#REF!,0))</f>
        <v>#REF!</v>
      </c>
      <c r="K329" s="52" t="e">
        <f>INDEX('Plano de Contas'!#REF!,MATCH(tbDez16[[#This Row],[Conta]],'Plano de Contas'!#REF!,0))</f>
        <v>#REF!</v>
      </c>
      <c r="L329" t="e">
        <f>INDEX('Plano de Contas'!#REF!,MATCH(tbDez16[[#This Row],[Conta]],'Plano de Contas'!#REF!,0))</f>
        <v>#REF!</v>
      </c>
    </row>
    <row r="330" spans="1:12" x14ac:dyDescent="0.25">
      <c r="A330" t="s">
        <v>776</v>
      </c>
      <c r="B330" t="s">
        <v>2157</v>
      </c>
      <c r="C330" t="s">
        <v>2158</v>
      </c>
      <c r="D330">
        <v>2776018.68</v>
      </c>
      <c r="E330">
        <v>415520.1</v>
      </c>
      <c r="F330">
        <v>0</v>
      </c>
      <c r="G330">
        <v>415520.1</v>
      </c>
      <c r="H330" s="1">
        <v>3191538.78</v>
      </c>
      <c r="I330">
        <v>3191.5387799999999</v>
      </c>
      <c r="J330" s="52" t="e">
        <f>INDEX('Plano de Contas'!#REF!,MATCH(tbDez16[[#This Row],[Conta]],'Plano de Contas'!#REF!,0))</f>
        <v>#REF!</v>
      </c>
      <c r="K330" s="52" t="e">
        <f>INDEX('Plano de Contas'!#REF!,MATCH(tbDez16[[#This Row],[Conta]],'Plano de Contas'!#REF!,0))</f>
        <v>#REF!</v>
      </c>
      <c r="L330" t="e">
        <f>INDEX('Plano de Contas'!#REF!,MATCH(tbDez16[[#This Row],[Conta]],'Plano de Contas'!#REF!,0))</f>
        <v>#REF!</v>
      </c>
    </row>
    <row r="331" spans="1:12" x14ac:dyDescent="0.25">
      <c r="A331" t="s">
        <v>778</v>
      </c>
      <c r="B331" t="s">
        <v>2159</v>
      </c>
      <c r="C331" t="s">
        <v>2160</v>
      </c>
      <c r="D331">
        <v>1889942.88</v>
      </c>
      <c r="E331">
        <v>277424</v>
      </c>
      <c r="F331">
        <v>0</v>
      </c>
      <c r="G331">
        <v>277424</v>
      </c>
      <c r="H331" s="1">
        <v>2167366.88</v>
      </c>
      <c r="I331">
        <v>2167.36688</v>
      </c>
      <c r="J331" s="52" t="e">
        <f>INDEX('Plano de Contas'!#REF!,MATCH(tbDez16[[#This Row],[Conta]],'Plano de Contas'!#REF!,0))</f>
        <v>#REF!</v>
      </c>
      <c r="K331" s="52" t="e">
        <f>INDEX('Plano de Contas'!#REF!,MATCH(tbDez16[[#This Row],[Conta]],'Plano de Contas'!#REF!,0))</f>
        <v>#REF!</v>
      </c>
      <c r="L331" t="e">
        <f>INDEX('Plano de Contas'!#REF!,MATCH(tbDez16[[#This Row],[Conta]],'Plano de Contas'!#REF!,0))</f>
        <v>#REF!</v>
      </c>
    </row>
    <row r="332" spans="1:12" x14ac:dyDescent="0.25">
      <c r="A332" t="s">
        <v>780</v>
      </c>
      <c r="B332" t="s">
        <v>2161</v>
      </c>
      <c r="C332" t="s">
        <v>2150</v>
      </c>
      <c r="D332">
        <v>6226986.04</v>
      </c>
      <c r="E332">
        <v>670715.56000000006</v>
      </c>
      <c r="F332">
        <v>103136</v>
      </c>
      <c r="G332">
        <v>567579.56000000006</v>
      </c>
      <c r="H332" s="1">
        <v>6794565.5999999996</v>
      </c>
      <c r="I332">
        <v>6794.5655999999999</v>
      </c>
      <c r="J332" s="52" t="e">
        <f>INDEX('Plano de Contas'!#REF!,MATCH(tbDez16[[#This Row],[Conta]],'Plano de Contas'!#REF!,0))</f>
        <v>#REF!</v>
      </c>
      <c r="K332" s="52" t="e">
        <f>INDEX('Plano de Contas'!#REF!,MATCH(tbDez16[[#This Row],[Conta]],'Plano de Contas'!#REF!,0))</f>
        <v>#REF!</v>
      </c>
      <c r="L332" t="e">
        <f>INDEX('Plano de Contas'!#REF!,MATCH(tbDez16[[#This Row],[Conta]],'Plano de Contas'!#REF!,0))</f>
        <v>#REF!</v>
      </c>
    </row>
    <row r="333" spans="1:12" x14ac:dyDescent="0.25">
      <c r="A333" t="s">
        <v>781</v>
      </c>
      <c r="B333" t="s">
        <v>2162</v>
      </c>
      <c r="C333" t="s">
        <v>2163</v>
      </c>
      <c r="D333">
        <v>285.52</v>
      </c>
      <c r="E333">
        <v>0</v>
      </c>
      <c r="F333">
        <v>0</v>
      </c>
      <c r="G333">
        <v>0</v>
      </c>
      <c r="H333" s="1">
        <v>285.52</v>
      </c>
      <c r="I333">
        <v>0.28552</v>
      </c>
      <c r="J333" s="52" t="e">
        <f>INDEX('Plano de Contas'!#REF!,MATCH(tbDez16[[#This Row],[Conta]],'Plano de Contas'!#REF!,0))</f>
        <v>#REF!</v>
      </c>
      <c r="K333" s="52" t="e">
        <f>INDEX('Plano de Contas'!#REF!,MATCH(tbDez16[[#This Row],[Conta]],'Plano de Contas'!#REF!,0))</f>
        <v>#REF!</v>
      </c>
      <c r="L333" t="e">
        <f>INDEX('Plano de Contas'!#REF!,MATCH(tbDez16[[#This Row],[Conta]],'Plano de Contas'!#REF!,0))</f>
        <v>#REF!</v>
      </c>
    </row>
    <row r="334" spans="1:12" x14ac:dyDescent="0.25">
      <c r="A334" t="s">
        <v>783</v>
      </c>
      <c r="B334" t="s">
        <v>2164</v>
      </c>
      <c r="C334" t="s">
        <v>1953</v>
      </c>
      <c r="D334">
        <v>6886627.4500000002</v>
      </c>
      <c r="E334">
        <v>745391.61</v>
      </c>
      <c r="F334">
        <v>8139.58</v>
      </c>
      <c r="G334">
        <v>737252.03</v>
      </c>
      <c r="H334" s="1">
        <v>7623879.4800000004</v>
      </c>
      <c r="I334">
        <v>7623.8794800000005</v>
      </c>
      <c r="J334" s="52" t="e">
        <f>INDEX('Plano de Contas'!#REF!,MATCH(tbDez16[[#This Row],[Conta]],'Plano de Contas'!#REF!,0))</f>
        <v>#REF!</v>
      </c>
      <c r="K334" s="52" t="e">
        <f>INDEX('Plano de Contas'!#REF!,MATCH(tbDez16[[#This Row],[Conta]],'Plano de Contas'!#REF!,0))</f>
        <v>#REF!</v>
      </c>
      <c r="L334" t="e">
        <f>INDEX('Plano de Contas'!#REF!,MATCH(tbDez16[[#This Row],[Conta]],'Plano de Contas'!#REF!,0))</f>
        <v>#REF!</v>
      </c>
    </row>
    <row r="335" spans="1:12" x14ac:dyDescent="0.25">
      <c r="A335" t="s">
        <v>784</v>
      </c>
      <c r="B335" t="s">
        <v>2165</v>
      </c>
      <c r="C335" t="s">
        <v>2166</v>
      </c>
      <c r="D335">
        <v>1999171.82</v>
      </c>
      <c r="E335">
        <v>218717.81</v>
      </c>
      <c r="F335">
        <v>0</v>
      </c>
      <c r="G335">
        <v>218717.81</v>
      </c>
      <c r="H335" s="1">
        <v>2217889.63</v>
      </c>
      <c r="I335">
        <v>2217.8896299999997</v>
      </c>
      <c r="J335" s="52" t="e">
        <f>INDEX('Plano de Contas'!#REF!,MATCH(tbDez16[[#This Row],[Conta]],'Plano de Contas'!#REF!,0))</f>
        <v>#REF!</v>
      </c>
      <c r="K335" s="52" t="e">
        <f>INDEX('Plano de Contas'!#REF!,MATCH(tbDez16[[#This Row],[Conta]],'Plano de Contas'!#REF!,0))</f>
        <v>#REF!</v>
      </c>
      <c r="L335" t="e">
        <f>INDEX('Plano de Contas'!#REF!,MATCH(tbDez16[[#This Row],[Conta]],'Plano de Contas'!#REF!,0))</f>
        <v>#REF!</v>
      </c>
    </row>
    <row r="336" spans="1:12" x14ac:dyDescent="0.25">
      <c r="A336" t="s">
        <v>786</v>
      </c>
      <c r="B336" t="s">
        <v>2167</v>
      </c>
      <c r="C336" t="s">
        <v>2168</v>
      </c>
      <c r="D336">
        <v>81440</v>
      </c>
      <c r="E336">
        <v>880</v>
      </c>
      <c r="F336">
        <v>0</v>
      </c>
      <c r="G336">
        <v>880</v>
      </c>
      <c r="H336" s="1">
        <v>82320</v>
      </c>
      <c r="I336">
        <v>82.32</v>
      </c>
      <c r="J336" s="52" t="e">
        <f>INDEX('Plano de Contas'!#REF!,MATCH(tbDez16[[#This Row],[Conta]],'Plano de Contas'!#REF!,0))</f>
        <v>#REF!</v>
      </c>
      <c r="K336" s="52" t="e">
        <f>INDEX('Plano de Contas'!#REF!,MATCH(tbDez16[[#This Row],[Conta]],'Plano de Contas'!#REF!,0))</f>
        <v>#REF!</v>
      </c>
      <c r="L336" t="e">
        <f>INDEX('Plano de Contas'!#REF!,MATCH(tbDez16[[#This Row],[Conta]],'Plano de Contas'!#REF!,0))</f>
        <v>#REF!</v>
      </c>
    </row>
    <row r="337" spans="1:12" x14ac:dyDescent="0.25">
      <c r="A337" t="s">
        <v>788</v>
      </c>
      <c r="B337" t="s">
        <v>2169</v>
      </c>
      <c r="C337" t="s">
        <v>2170</v>
      </c>
      <c r="D337">
        <v>893561.61</v>
      </c>
      <c r="E337">
        <v>174176.33</v>
      </c>
      <c r="F337">
        <v>89773.45</v>
      </c>
      <c r="G337">
        <v>84402.87999999999</v>
      </c>
      <c r="H337" s="1">
        <v>977964.49</v>
      </c>
      <c r="I337">
        <v>977.96448999999996</v>
      </c>
      <c r="J337" s="52" t="e">
        <f>INDEX('Plano de Contas'!#REF!,MATCH(tbDez16[[#This Row],[Conta]],'Plano de Contas'!#REF!,0))</f>
        <v>#REF!</v>
      </c>
      <c r="K337" s="52" t="e">
        <f>INDEX('Plano de Contas'!#REF!,MATCH(tbDez16[[#This Row],[Conta]],'Plano de Contas'!#REF!,0))</f>
        <v>#REF!</v>
      </c>
      <c r="L337" t="e">
        <f>INDEX('Plano de Contas'!#REF!,MATCH(tbDez16[[#This Row],[Conta]],'Plano de Contas'!#REF!,0))</f>
        <v>#REF!</v>
      </c>
    </row>
    <row r="338" spans="1:12" x14ac:dyDescent="0.25">
      <c r="A338" t="s">
        <v>790</v>
      </c>
      <c r="B338" t="s">
        <v>2171</v>
      </c>
      <c r="C338" t="s">
        <v>2172</v>
      </c>
      <c r="D338">
        <v>112128.58</v>
      </c>
      <c r="E338">
        <v>11916.25</v>
      </c>
      <c r="F338">
        <v>1072.74</v>
      </c>
      <c r="G338">
        <v>10843.51</v>
      </c>
      <c r="H338" s="1">
        <v>122972.09</v>
      </c>
      <c r="I338">
        <v>122.97208999999999</v>
      </c>
      <c r="J338" s="52" t="e">
        <f>INDEX('Plano de Contas'!#REF!,MATCH(tbDez16[[#This Row],[Conta]],'Plano de Contas'!#REF!,0))</f>
        <v>#REF!</v>
      </c>
      <c r="K338" s="52" t="e">
        <f>INDEX('Plano de Contas'!#REF!,MATCH(tbDez16[[#This Row],[Conta]],'Plano de Contas'!#REF!,0))</f>
        <v>#REF!</v>
      </c>
      <c r="L338" t="e">
        <f>INDEX('Plano de Contas'!#REF!,MATCH(tbDez16[[#This Row],[Conta]],'Plano de Contas'!#REF!,0))</f>
        <v>#REF!</v>
      </c>
    </row>
    <row r="339" spans="1:12" x14ac:dyDescent="0.25">
      <c r="A339" t="s">
        <v>792</v>
      </c>
      <c r="B339" t="s">
        <v>2173</v>
      </c>
      <c r="C339" t="s">
        <v>2174</v>
      </c>
      <c r="D339">
        <v>2541096.0299999998</v>
      </c>
      <c r="E339">
        <v>746000</v>
      </c>
      <c r="F339">
        <v>7258.47</v>
      </c>
      <c r="G339">
        <v>738741.53</v>
      </c>
      <c r="H339" s="1">
        <v>3279837.56</v>
      </c>
      <c r="I339">
        <v>3279.8375599999999</v>
      </c>
      <c r="J339" s="52" t="e">
        <f>INDEX('Plano de Contas'!#REF!,MATCH(tbDez16[[#This Row],[Conta]],'Plano de Contas'!#REF!,0))</f>
        <v>#REF!</v>
      </c>
      <c r="K339" s="52" t="e">
        <f>INDEX('Plano de Contas'!#REF!,MATCH(tbDez16[[#This Row],[Conta]],'Plano de Contas'!#REF!,0))</f>
        <v>#REF!</v>
      </c>
      <c r="L339" t="e">
        <f>INDEX('Plano de Contas'!#REF!,MATCH(tbDez16[[#This Row],[Conta]],'Plano de Contas'!#REF!,0))</f>
        <v>#REF!</v>
      </c>
    </row>
    <row r="340" spans="1:12" x14ac:dyDescent="0.25">
      <c r="A340" t="s">
        <v>794</v>
      </c>
      <c r="B340" t="s">
        <v>2175</v>
      </c>
      <c r="C340" t="s">
        <v>2176</v>
      </c>
      <c r="D340">
        <v>-107579.07</v>
      </c>
      <c r="E340">
        <v>5703.9</v>
      </c>
      <c r="F340">
        <v>17876.939999999999</v>
      </c>
      <c r="G340">
        <v>-12173.039999999999</v>
      </c>
      <c r="H340" s="1">
        <v>-119752.11</v>
      </c>
      <c r="I340">
        <v>-119.75211</v>
      </c>
      <c r="J340" s="52" t="e">
        <f>INDEX('Plano de Contas'!#REF!,MATCH(tbDez16[[#This Row],[Conta]],'Plano de Contas'!#REF!,0))</f>
        <v>#REF!</v>
      </c>
      <c r="K340" s="52" t="e">
        <f>INDEX('Plano de Contas'!#REF!,MATCH(tbDez16[[#This Row],[Conta]],'Plano de Contas'!#REF!,0))</f>
        <v>#REF!</v>
      </c>
      <c r="L340" t="e">
        <f>INDEX('Plano de Contas'!#REF!,MATCH(tbDez16[[#This Row],[Conta]],'Plano de Contas'!#REF!,0))</f>
        <v>#REF!</v>
      </c>
    </row>
    <row r="341" spans="1:12" x14ac:dyDescent="0.25">
      <c r="A341" t="s">
        <v>796</v>
      </c>
      <c r="B341" t="s">
        <v>2177</v>
      </c>
      <c r="C341" t="s">
        <v>2178</v>
      </c>
      <c r="D341">
        <v>458652.4</v>
      </c>
      <c r="E341">
        <v>38266.61</v>
      </c>
      <c r="F341">
        <v>0</v>
      </c>
      <c r="G341">
        <v>38266.61</v>
      </c>
      <c r="H341" s="1">
        <v>496919.01</v>
      </c>
      <c r="I341">
        <v>496.91901000000001</v>
      </c>
      <c r="J341" s="52" t="e">
        <f>INDEX('Plano de Contas'!#REF!,MATCH(tbDez16[[#This Row],[Conta]],'Plano de Contas'!#REF!,0))</f>
        <v>#REF!</v>
      </c>
      <c r="K341" s="52" t="e">
        <f>INDEX('Plano de Contas'!#REF!,MATCH(tbDez16[[#This Row],[Conta]],'Plano de Contas'!#REF!,0))</f>
        <v>#REF!</v>
      </c>
      <c r="L341" t="e">
        <f>INDEX('Plano de Contas'!#REF!,MATCH(tbDez16[[#This Row],[Conta]],'Plano de Contas'!#REF!,0))</f>
        <v>#REF!</v>
      </c>
    </row>
    <row r="342" spans="1:12" x14ac:dyDescent="0.25">
      <c r="A342" t="s">
        <v>798</v>
      </c>
      <c r="B342" t="s">
        <v>2179</v>
      </c>
      <c r="C342" t="s">
        <v>2180</v>
      </c>
      <c r="D342">
        <v>207967.67</v>
      </c>
      <c r="E342">
        <v>17819.03</v>
      </c>
      <c r="F342">
        <v>0</v>
      </c>
      <c r="G342">
        <v>17819.03</v>
      </c>
      <c r="H342" s="1">
        <v>225786.7</v>
      </c>
      <c r="I342">
        <v>225.78670000000002</v>
      </c>
      <c r="J342" s="52" t="e">
        <f>INDEX('Plano de Contas'!#REF!,MATCH(tbDez16[[#This Row],[Conta]],'Plano de Contas'!#REF!,0))</f>
        <v>#REF!</v>
      </c>
      <c r="K342" s="52" t="e">
        <f>INDEX('Plano de Contas'!#REF!,MATCH(tbDez16[[#This Row],[Conta]],'Plano de Contas'!#REF!,0))</f>
        <v>#REF!</v>
      </c>
      <c r="L342" t="e">
        <f>INDEX('Plano de Contas'!#REF!,MATCH(tbDez16[[#This Row],[Conta]],'Plano de Contas'!#REF!,0))</f>
        <v>#REF!</v>
      </c>
    </row>
    <row r="343" spans="1:12" x14ac:dyDescent="0.25">
      <c r="A343" t="s">
        <v>800</v>
      </c>
      <c r="B343" t="s">
        <v>2181</v>
      </c>
      <c r="C343" t="s">
        <v>2182</v>
      </c>
      <c r="D343">
        <v>19594.669999999998</v>
      </c>
      <c r="E343">
        <v>880</v>
      </c>
      <c r="F343">
        <v>0</v>
      </c>
      <c r="G343">
        <v>880</v>
      </c>
      <c r="H343" s="1">
        <v>20474.669999999998</v>
      </c>
      <c r="I343">
        <v>20.47467</v>
      </c>
      <c r="J343" s="52" t="e">
        <f>INDEX('Plano de Contas'!#REF!,MATCH(tbDez16[[#This Row],[Conta]],'Plano de Contas'!#REF!,0))</f>
        <v>#REF!</v>
      </c>
      <c r="K343" s="52" t="e">
        <f>INDEX('Plano de Contas'!#REF!,MATCH(tbDez16[[#This Row],[Conta]],'Plano de Contas'!#REF!,0))</f>
        <v>#REF!</v>
      </c>
      <c r="L343" t="e">
        <f>INDEX('Plano de Contas'!#REF!,MATCH(tbDez16[[#This Row],[Conta]],'Plano de Contas'!#REF!,0))</f>
        <v>#REF!</v>
      </c>
    </row>
    <row r="344" spans="1:12" x14ac:dyDescent="0.25">
      <c r="A344" t="s">
        <v>802</v>
      </c>
      <c r="B344" t="s">
        <v>2183</v>
      </c>
      <c r="C344" t="s">
        <v>2184</v>
      </c>
      <c r="D344">
        <v>817659.74</v>
      </c>
      <c r="E344">
        <v>85749.75</v>
      </c>
      <c r="F344">
        <v>0</v>
      </c>
      <c r="G344">
        <v>85749.75</v>
      </c>
      <c r="H344" s="1">
        <v>903409.49</v>
      </c>
      <c r="I344">
        <v>903.40949000000001</v>
      </c>
      <c r="J344" s="52" t="e">
        <f>INDEX('Plano de Contas'!#REF!,MATCH(tbDez16[[#This Row],[Conta]],'Plano de Contas'!#REF!,0))</f>
        <v>#REF!</v>
      </c>
      <c r="K344" s="52" t="e">
        <f>INDEX('Plano de Contas'!#REF!,MATCH(tbDez16[[#This Row],[Conta]],'Plano de Contas'!#REF!,0))</f>
        <v>#REF!</v>
      </c>
      <c r="L344" t="e">
        <f>INDEX('Plano de Contas'!#REF!,MATCH(tbDez16[[#This Row],[Conta]],'Plano de Contas'!#REF!,0))</f>
        <v>#REF!</v>
      </c>
    </row>
    <row r="345" spans="1:12" x14ac:dyDescent="0.25">
      <c r="A345" t="s">
        <v>804</v>
      </c>
      <c r="B345" t="s">
        <v>2185</v>
      </c>
      <c r="C345" t="s">
        <v>2186</v>
      </c>
      <c r="D345">
        <v>24554.67</v>
      </c>
      <c r="E345">
        <v>2424.36</v>
      </c>
      <c r="F345">
        <v>0</v>
      </c>
      <c r="G345">
        <v>2424.36</v>
      </c>
      <c r="H345" s="1">
        <v>26979.03</v>
      </c>
      <c r="I345">
        <v>26.979029999999998</v>
      </c>
      <c r="J345" s="52" t="e">
        <f>INDEX('Plano de Contas'!#REF!,MATCH(tbDez16[[#This Row],[Conta]],'Plano de Contas'!#REF!,0))</f>
        <v>#REF!</v>
      </c>
      <c r="K345" s="52" t="e">
        <f>INDEX('Plano de Contas'!#REF!,MATCH(tbDez16[[#This Row],[Conta]],'Plano de Contas'!#REF!,0))</f>
        <v>#REF!</v>
      </c>
      <c r="L345" t="e">
        <f>INDEX('Plano de Contas'!#REF!,MATCH(tbDez16[[#This Row],[Conta]],'Plano de Contas'!#REF!,0))</f>
        <v>#REF!</v>
      </c>
    </row>
    <row r="346" spans="1:12" x14ac:dyDescent="0.25">
      <c r="A346" t="s">
        <v>808</v>
      </c>
      <c r="B346" t="s">
        <v>2187</v>
      </c>
      <c r="C346" t="s">
        <v>2188</v>
      </c>
      <c r="D346">
        <v>637238.91</v>
      </c>
      <c r="E346">
        <v>57212.9</v>
      </c>
      <c r="F346">
        <v>0</v>
      </c>
      <c r="G346">
        <v>57212.9</v>
      </c>
      <c r="H346" s="1">
        <v>694451.81</v>
      </c>
      <c r="I346">
        <v>694.45181000000002</v>
      </c>
      <c r="J346" s="52" t="e">
        <f>INDEX('Plano de Contas'!#REF!,MATCH(tbDez16[[#This Row],[Conta]],'Plano de Contas'!#REF!,0))</f>
        <v>#REF!</v>
      </c>
      <c r="K346" s="52" t="e">
        <f>INDEX('Plano de Contas'!#REF!,MATCH(tbDez16[[#This Row],[Conta]],'Plano de Contas'!#REF!,0))</f>
        <v>#REF!</v>
      </c>
      <c r="L346" t="e">
        <f>INDEX('Plano de Contas'!#REF!,MATCH(tbDez16[[#This Row],[Conta]],'Plano de Contas'!#REF!,0))</f>
        <v>#REF!</v>
      </c>
    </row>
    <row r="347" spans="1:12" x14ac:dyDescent="0.25">
      <c r="A347" t="s">
        <v>810</v>
      </c>
      <c r="B347" t="s">
        <v>2189</v>
      </c>
      <c r="C347" t="s">
        <v>2190</v>
      </c>
      <c r="D347">
        <v>86038.46</v>
      </c>
      <c r="E347">
        <v>8873.0300000000007</v>
      </c>
      <c r="F347">
        <v>0</v>
      </c>
      <c r="G347">
        <v>8873.0300000000007</v>
      </c>
      <c r="H347" s="1">
        <v>94911.49</v>
      </c>
      <c r="I347">
        <v>94.911490000000001</v>
      </c>
      <c r="J347" s="52" t="e">
        <f>INDEX('Plano de Contas'!#REF!,MATCH(tbDez16[[#This Row],[Conta]],'Plano de Contas'!#REF!,0))</f>
        <v>#REF!</v>
      </c>
      <c r="K347" s="52" t="e">
        <f>INDEX('Plano de Contas'!#REF!,MATCH(tbDez16[[#This Row],[Conta]],'Plano de Contas'!#REF!,0))</f>
        <v>#REF!</v>
      </c>
      <c r="L347" t="e">
        <f>INDEX('Plano de Contas'!#REF!,MATCH(tbDez16[[#This Row],[Conta]],'Plano de Contas'!#REF!,0))</f>
        <v>#REF!</v>
      </c>
    </row>
    <row r="348" spans="1:12" x14ac:dyDescent="0.25">
      <c r="A348" t="s">
        <v>812</v>
      </c>
      <c r="B348" t="s">
        <v>2191</v>
      </c>
      <c r="C348" t="s">
        <v>2192</v>
      </c>
      <c r="D348">
        <v>1309681.01</v>
      </c>
      <c r="E348">
        <v>115981.74</v>
      </c>
      <c r="F348">
        <v>0</v>
      </c>
      <c r="G348">
        <v>115981.74</v>
      </c>
      <c r="H348" s="1">
        <v>1425662.75</v>
      </c>
      <c r="I348">
        <v>1425.66275</v>
      </c>
      <c r="J348" s="52" t="e">
        <f>INDEX('Plano de Contas'!#REF!,MATCH(tbDez16[[#This Row],[Conta]],'Plano de Contas'!#REF!,0))</f>
        <v>#REF!</v>
      </c>
      <c r="K348" s="52" t="e">
        <f>INDEX('Plano de Contas'!#REF!,MATCH(tbDez16[[#This Row],[Conta]],'Plano de Contas'!#REF!,0))</f>
        <v>#REF!</v>
      </c>
      <c r="L348" t="e">
        <f>INDEX('Plano de Contas'!#REF!,MATCH(tbDez16[[#This Row],[Conta]],'Plano de Contas'!#REF!,0))</f>
        <v>#REF!</v>
      </c>
    </row>
    <row r="349" spans="1:12" x14ac:dyDescent="0.25">
      <c r="A349" t="s">
        <v>814</v>
      </c>
      <c r="B349" t="s">
        <v>2193</v>
      </c>
      <c r="C349" t="s">
        <v>2194</v>
      </c>
      <c r="D349">
        <v>67761.47</v>
      </c>
      <c r="E349">
        <v>5276.69</v>
      </c>
      <c r="F349">
        <v>0</v>
      </c>
      <c r="G349">
        <v>5276.69</v>
      </c>
      <c r="H349" s="1">
        <v>73038.16</v>
      </c>
      <c r="I349">
        <v>73.038160000000005</v>
      </c>
      <c r="J349" s="52" t="e">
        <f>INDEX('Plano de Contas'!#REF!,MATCH(tbDez16[[#This Row],[Conta]],'Plano de Contas'!#REF!,0))</f>
        <v>#REF!</v>
      </c>
      <c r="K349" s="52" t="e">
        <f>INDEX('Plano de Contas'!#REF!,MATCH(tbDez16[[#This Row],[Conta]],'Plano de Contas'!#REF!,0))</f>
        <v>#REF!</v>
      </c>
      <c r="L349" t="e">
        <f>INDEX('Plano de Contas'!#REF!,MATCH(tbDez16[[#This Row],[Conta]],'Plano de Contas'!#REF!,0))</f>
        <v>#REF!</v>
      </c>
    </row>
    <row r="350" spans="1:12" x14ac:dyDescent="0.25">
      <c r="A350" t="s">
        <v>816</v>
      </c>
      <c r="B350" t="s">
        <v>2195</v>
      </c>
      <c r="C350" t="s">
        <v>2196</v>
      </c>
      <c r="D350">
        <v>40976.660000000003</v>
      </c>
      <c r="E350">
        <v>2765.52</v>
      </c>
      <c r="F350">
        <v>0</v>
      </c>
      <c r="G350">
        <v>2765.52</v>
      </c>
      <c r="H350" s="1">
        <v>43742.18</v>
      </c>
      <c r="I350">
        <v>43.742179999999998</v>
      </c>
      <c r="J350" s="52" t="e">
        <f>INDEX('Plano de Contas'!#REF!,MATCH(tbDez16[[#This Row],[Conta]],'Plano de Contas'!#REF!,0))</f>
        <v>#REF!</v>
      </c>
      <c r="K350" s="52" t="e">
        <f>INDEX('Plano de Contas'!#REF!,MATCH(tbDez16[[#This Row],[Conta]],'Plano de Contas'!#REF!,0))</f>
        <v>#REF!</v>
      </c>
      <c r="L350" t="e">
        <f>INDEX('Plano de Contas'!#REF!,MATCH(tbDez16[[#This Row],[Conta]],'Plano de Contas'!#REF!,0))</f>
        <v>#REF!</v>
      </c>
    </row>
    <row r="351" spans="1:12" x14ac:dyDescent="0.25">
      <c r="A351" t="s">
        <v>820</v>
      </c>
      <c r="B351" t="s">
        <v>2197</v>
      </c>
      <c r="C351" t="s">
        <v>2198</v>
      </c>
      <c r="D351">
        <v>88597.59</v>
      </c>
      <c r="E351">
        <v>9267.3700000000008</v>
      </c>
      <c r="F351">
        <v>0</v>
      </c>
      <c r="G351">
        <v>9267.3700000000008</v>
      </c>
      <c r="H351" s="1">
        <v>97864.960000000006</v>
      </c>
      <c r="I351">
        <v>97.864960000000011</v>
      </c>
      <c r="J351" s="52" t="e">
        <f>INDEX('Plano de Contas'!#REF!,MATCH(tbDez16[[#This Row],[Conta]],'Plano de Contas'!#REF!,0))</f>
        <v>#REF!</v>
      </c>
      <c r="K351" s="52" t="e">
        <f>INDEX('Plano de Contas'!#REF!,MATCH(tbDez16[[#This Row],[Conta]],'Plano de Contas'!#REF!,0))</f>
        <v>#REF!</v>
      </c>
      <c r="L351" t="e">
        <f>INDEX('Plano de Contas'!#REF!,MATCH(tbDez16[[#This Row],[Conta]],'Plano de Contas'!#REF!,0))</f>
        <v>#REF!</v>
      </c>
    </row>
    <row r="352" spans="1:12" x14ac:dyDescent="0.25">
      <c r="A352" t="s">
        <v>1064</v>
      </c>
      <c r="B352" t="s">
        <v>2199</v>
      </c>
      <c r="C352" t="s">
        <v>2200</v>
      </c>
      <c r="D352">
        <v>100520.93</v>
      </c>
      <c r="E352">
        <v>5669.1</v>
      </c>
      <c r="F352">
        <v>0</v>
      </c>
      <c r="G352">
        <v>5669.1</v>
      </c>
      <c r="H352" s="1">
        <v>106190.03</v>
      </c>
      <c r="I352">
        <v>106.19002999999999</v>
      </c>
      <c r="J352" s="52" t="e">
        <f>INDEX('Plano de Contas'!#REF!,MATCH(tbDez16[[#This Row],[Conta]],'Plano de Contas'!#REF!,0))</f>
        <v>#REF!</v>
      </c>
      <c r="K352" s="52" t="e">
        <f>INDEX('Plano de Contas'!#REF!,MATCH(tbDez16[[#This Row],[Conta]],'Plano de Contas'!#REF!,0))</f>
        <v>#REF!</v>
      </c>
      <c r="L352" t="e">
        <f>INDEX('Plano de Contas'!#REF!,MATCH(tbDez16[[#This Row],[Conta]],'Plano de Contas'!#REF!,0))</f>
        <v>#REF!</v>
      </c>
    </row>
    <row r="353" spans="1:12" x14ac:dyDescent="0.25">
      <c r="A353" t="s">
        <v>826</v>
      </c>
      <c r="B353" t="s">
        <v>2201</v>
      </c>
      <c r="C353" t="s">
        <v>2202</v>
      </c>
      <c r="D353">
        <v>63610212.960000001</v>
      </c>
      <c r="E353">
        <v>10151890.460000001</v>
      </c>
      <c r="F353">
        <v>74310.350000000006</v>
      </c>
      <c r="G353">
        <v>10077580.110000001</v>
      </c>
      <c r="H353" s="1">
        <v>73687793.069999993</v>
      </c>
      <c r="I353">
        <v>73687.79307</v>
      </c>
      <c r="J353" s="52" t="e">
        <f>INDEX('Plano de Contas'!#REF!,MATCH(tbDez16[[#This Row],[Conta]],'Plano de Contas'!#REF!,0))</f>
        <v>#REF!</v>
      </c>
      <c r="K353" s="52" t="e">
        <f>INDEX('Plano de Contas'!#REF!,MATCH(tbDez16[[#This Row],[Conta]],'Plano de Contas'!#REF!,0))</f>
        <v>#REF!</v>
      </c>
      <c r="L353" t="e">
        <f>INDEX('Plano de Contas'!#REF!,MATCH(tbDez16[[#This Row],[Conta]],'Plano de Contas'!#REF!,0))</f>
        <v>#REF!</v>
      </c>
    </row>
    <row r="354" spans="1:12" x14ac:dyDescent="0.25">
      <c r="A354" t="s">
        <v>828</v>
      </c>
      <c r="B354" t="s">
        <v>2203</v>
      </c>
      <c r="C354" t="s">
        <v>2204</v>
      </c>
      <c r="D354">
        <v>1801403.35</v>
      </c>
      <c r="E354">
        <v>255051.37</v>
      </c>
      <c r="F354">
        <v>0</v>
      </c>
      <c r="G354">
        <v>255051.37</v>
      </c>
      <c r="H354" s="1">
        <v>2056454.72</v>
      </c>
      <c r="I354">
        <v>2056.4547200000002</v>
      </c>
      <c r="J354" s="52" t="e">
        <f>INDEX('Plano de Contas'!#REF!,MATCH(tbDez16[[#This Row],[Conta]],'Plano de Contas'!#REF!,0))</f>
        <v>#REF!</v>
      </c>
      <c r="K354" s="52" t="e">
        <f>INDEX('Plano de Contas'!#REF!,MATCH(tbDez16[[#This Row],[Conta]],'Plano de Contas'!#REF!,0))</f>
        <v>#REF!</v>
      </c>
      <c r="L354" t="e">
        <f>INDEX('Plano de Contas'!#REF!,MATCH(tbDez16[[#This Row],[Conta]],'Plano de Contas'!#REF!,0))</f>
        <v>#REF!</v>
      </c>
    </row>
    <row r="355" spans="1:12" x14ac:dyDescent="0.25">
      <c r="A355" t="s">
        <v>830</v>
      </c>
      <c r="B355" t="s">
        <v>2205</v>
      </c>
      <c r="C355" t="s">
        <v>2206</v>
      </c>
      <c r="D355">
        <v>1882011.1</v>
      </c>
      <c r="E355">
        <v>213701.64</v>
      </c>
      <c r="F355">
        <v>0</v>
      </c>
      <c r="G355">
        <v>213701.64</v>
      </c>
      <c r="H355" s="1">
        <v>2095712.74</v>
      </c>
      <c r="I355">
        <v>2095.7127399999999</v>
      </c>
      <c r="J355" s="52" t="e">
        <f>INDEX('Plano de Contas'!#REF!,MATCH(tbDez16[[#This Row],[Conta]],'Plano de Contas'!#REF!,0))</f>
        <v>#REF!</v>
      </c>
      <c r="K355" s="52" t="e">
        <f>INDEX('Plano de Contas'!#REF!,MATCH(tbDez16[[#This Row],[Conta]],'Plano de Contas'!#REF!,0))</f>
        <v>#REF!</v>
      </c>
      <c r="L355" t="e">
        <f>INDEX('Plano de Contas'!#REF!,MATCH(tbDez16[[#This Row],[Conta]],'Plano de Contas'!#REF!,0))</f>
        <v>#REF!</v>
      </c>
    </row>
    <row r="356" spans="1:12" x14ac:dyDescent="0.25">
      <c r="A356" t="s">
        <v>832</v>
      </c>
      <c r="B356" t="s">
        <v>2207</v>
      </c>
      <c r="C356" t="s">
        <v>2208</v>
      </c>
      <c r="D356">
        <v>268800.08</v>
      </c>
      <c r="E356">
        <v>62524.32</v>
      </c>
      <c r="F356">
        <v>0</v>
      </c>
      <c r="G356">
        <v>62524.32</v>
      </c>
      <c r="H356" s="1">
        <v>331324.40000000002</v>
      </c>
      <c r="I356">
        <v>331.32440000000003</v>
      </c>
      <c r="J356" s="52" t="e">
        <f>INDEX('Plano de Contas'!#REF!,MATCH(tbDez16[[#This Row],[Conta]],'Plano de Contas'!#REF!,0))</f>
        <v>#REF!</v>
      </c>
      <c r="K356" s="52" t="e">
        <f>INDEX('Plano de Contas'!#REF!,MATCH(tbDez16[[#This Row],[Conta]],'Plano de Contas'!#REF!,0))</f>
        <v>#REF!</v>
      </c>
      <c r="L356" t="e">
        <f>INDEX('Plano de Contas'!#REF!,MATCH(tbDez16[[#This Row],[Conta]],'Plano de Contas'!#REF!,0))</f>
        <v>#REF!</v>
      </c>
    </row>
    <row r="357" spans="1:12" x14ac:dyDescent="0.25">
      <c r="A357" t="s">
        <v>834</v>
      </c>
      <c r="B357" t="s">
        <v>2209</v>
      </c>
      <c r="C357" t="s">
        <v>2210</v>
      </c>
      <c r="D357">
        <v>264508.76</v>
      </c>
      <c r="E357">
        <v>26589.06</v>
      </c>
      <c r="F357">
        <v>0</v>
      </c>
      <c r="G357">
        <v>26589.06</v>
      </c>
      <c r="H357" s="1">
        <v>291097.82</v>
      </c>
      <c r="I357">
        <v>291.09782000000001</v>
      </c>
      <c r="J357" s="52" t="e">
        <f>INDEX('Plano de Contas'!#REF!,MATCH(tbDez16[[#This Row],[Conta]],'Plano de Contas'!#REF!,0))</f>
        <v>#REF!</v>
      </c>
      <c r="K357" s="52" t="e">
        <f>INDEX('Plano de Contas'!#REF!,MATCH(tbDez16[[#This Row],[Conta]],'Plano de Contas'!#REF!,0))</f>
        <v>#REF!</v>
      </c>
      <c r="L357" t="e">
        <f>INDEX('Plano de Contas'!#REF!,MATCH(tbDez16[[#This Row],[Conta]],'Plano de Contas'!#REF!,0))</f>
        <v>#REF!</v>
      </c>
    </row>
    <row r="358" spans="1:12" x14ac:dyDescent="0.25">
      <c r="A358" t="s">
        <v>836</v>
      </c>
      <c r="B358" t="s">
        <v>2211</v>
      </c>
      <c r="C358" t="s">
        <v>2212</v>
      </c>
      <c r="D358">
        <v>1853145.6</v>
      </c>
      <c r="E358">
        <v>189199.8</v>
      </c>
      <c r="F358">
        <v>0</v>
      </c>
      <c r="G358">
        <v>189199.8</v>
      </c>
      <c r="H358" s="1">
        <v>2042345.4</v>
      </c>
      <c r="I358">
        <v>2042.3453999999999</v>
      </c>
      <c r="J358" s="52" t="e">
        <f>INDEX('Plano de Contas'!#REF!,MATCH(tbDez16[[#This Row],[Conta]],'Plano de Contas'!#REF!,0))</f>
        <v>#REF!</v>
      </c>
      <c r="K358" s="52" t="e">
        <f>INDEX('Plano de Contas'!#REF!,MATCH(tbDez16[[#This Row],[Conta]],'Plano de Contas'!#REF!,0))</f>
        <v>#REF!</v>
      </c>
      <c r="L358" t="e">
        <f>INDEX('Plano de Contas'!#REF!,MATCH(tbDez16[[#This Row],[Conta]],'Plano de Contas'!#REF!,0))</f>
        <v>#REF!</v>
      </c>
    </row>
    <row r="359" spans="1:12" x14ac:dyDescent="0.25">
      <c r="A359" t="s">
        <v>838</v>
      </c>
      <c r="B359" t="s">
        <v>2213</v>
      </c>
      <c r="C359" t="s">
        <v>2214</v>
      </c>
      <c r="D359">
        <v>66635.86</v>
      </c>
      <c r="E359">
        <v>4415.17</v>
      </c>
      <c r="F359">
        <v>0</v>
      </c>
      <c r="G359">
        <v>4415.17</v>
      </c>
      <c r="H359" s="1">
        <v>71051.03</v>
      </c>
      <c r="I359">
        <v>71.051029999999997</v>
      </c>
      <c r="J359" s="52" t="e">
        <f>INDEX('Plano de Contas'!#REF!,MATCH(tbDez16[[#This Row],[Conta]],'Plano de Contas'!#REF!,0))</f>
        <v>#REF!</v>
      </c>
      <c r="K359" s="52" t="e">
        <f>INDEX('Plano de Contas'!#REF!,MATCH(tbDez16[[#This Row],[Conta]],'Plano de Contas'!#REF!,0))</f>
        <v>#REF!</v>
      </c>
      <c r="L359" t="e">
        <f>INDEX('Plano de Contas'!#REF!,MATCH(tbDez16[[#This Row],[Conta]],'Plano de Contas'!#REF!,0))</f>
        <v>#REF!</v>
      </c>
    </row>
    <row r="360" spans="1:12" x14ac:dyDescent="0.25">
      <c r="A360" t="s">
        <v>840</v>
      </c>
      <c r="B360" t="s">
        <v>2215</v>
      </c>
      <c r="C360" t="s">
        <v>2216</v>
      </c>
      <c r="D360">
        <v>189332.87</v>
      </c>
      <c r="E360">
        <v>23149.89</v>
      </c>
      <c r="F360">
        <v>0</v>
      </c>
      <c r="G360">
        <v>23149.89</v>
      </c>
      <c r="H360" s="1">
        <v>212482.76</v>
      </c>
      <c r="I360">
        <v>212.48276000000001</v>
      </c>
      <c r="J360" s="52" t="e">
        <f>INDEX('Plano de Contas'!#REF!,MATCH(tbDez16[[#This Row],[Conta]],'Plano de Contas'!#REF!,0))</f>
        <v>#REF!</v>
      </c>
      <c r="K360" s="52" t="e">
        <f>INDEX('Plano de Contas'!#REF!,MATCH(tbDez16[[#This Row],[Conta]],'Plano de Contas'!#REF!,0))</f>
        <v>#REF!</v>
      </c>
      <c r="L360" t="e">
        <f>INDEX('Plano de Contas'!#REF!,MATCH(tbDez16[[#This Row],[Conta]],'Plano de Contas'!#REF!,0))</f>
        <v>#REF!</v>
      </c>
    </row>
    <row r="361" spans="1:12" x14ac:dyDescent="0.25">
      <c r="A361" t="s">
        <v>842</v>
      </c>
      <c r="B361" t="s">
        <v>2217</v>
      </c>
      <c r="C361" t="s">
        <v>2218</v>
      </c>
      <c r="D361">
        <v>47146.21</v>
      </c>
      <c r="E361">
        <v>366.41</v>
      </c>
      <c r="F361">
        <v>0</v>
      </c>
      <c r="G361">
        <v>366.41</v>
      </c>
      <c r="H361" s="1">
        <v>47512.62</v>
      </c>
      <c r="I361">
        <v>47.512620000000005</v>
      </c>
      <c r="J361" s="52" t="e">
        <f>INDEX('Plano de Contas'!#REF!,MATCH(tbDez16[[#This Row],[Conta]],'Plano de Contas'!#REF!,0))</f>
        <v>#REF!</v>
      </c>
      <c r="K361" s="52" t="e">
        <f>INDEX('Plano de Contas'!#REF!,MATCH(tbDez16[[#This Row],[Conta]],'Plano de Contas'!#REF!,0))</f>
        <v>#REF!</v>
      </c>
      <c r="L361" t="e">
        <f>INDEX('Plano de Contas'!#REF!,MATCH(tbDez16[[#This Row],[Conta]],'Plano de Contas'!#REF!,0))</f>
        <v>#REF!</v>
      </c>
    </row>
    <row r="362" spans="1:12" x14ac:dyDescent="0.25">
      <c r="A362" t="s">
        <v>844</v>
      </c>
      <c r="B362" t="s">
        <v>2219</v>
      </c>
      <c r="C362" t="s">
        <v>2220</v>
      </c>
      <c r="D362">
        <v>8931.77</v>
      </c>
      <c r="E362">
        <v>3293.92</v>
      </c>
      <c r="F362">
        <v>0</v>
      </c>
      <c r="G362">
        <v>3293.92</v>
      </c>
      <c r="H362" s="1">
        <v>12225.69</v>
      </c>
      <c r="I362">
        <v>12.22569</v>
      </c>
      <c r="J362" s="52" t="e">
        <f>INDEX('Plano de Contas'!#REF!,MATCH(tbDez16[[#This Row],[Conta]],'Plano de Contas'!#REF!,0))</f>
        <v>#REF!</v>
      </c>
      <c r="K362" s="52" t="e">
        <f>INDEX('Plano de Contas'!#REF!,MATCH(tbDez16[[#This Row],[Conta]],'Plano de Contas'!#REF!,0))</f>
        <v>#REF!</v>
      </c>
      <c r="L362" t="e">
        <f>INDEX('Plano de Contas'!#REF!,MATCH(tbDez16[[#This Row],[Conta]],'Plano de Contas'!#REF!,0))</f>
        <v>#REF!</v>
      </c>
    </row>
    <row r="363" spans="1:12" x14ac:dyDescent="0.25">
      <c r="A363" t="s">
        <v>846</v>
      </c>
      <c r="B363" t="s">
        <v>2221</v>
      </c>
      <c r="C363" t="s">
        <v>2222</v>
      </c>
      <c r="D363">
        <v>165814.24</v>
      </c>
      <c r="E363">
        <v>33844.050000000003</v>
      </c>
      <c r="F363">
        <v>0</v>
      </c>
      <c r="G363">
        <v>33844.050000000003</v>
      </c>
      <c r="H363" s="1">
        <v>199658.29</v>
      </c>
      <c r="I363">
        <v>199.65829000000002</v>
      </c>
      <c r="J363" s="52" t="e">
        <f>INDEX('Plano de Contas'!#REF!,MATCH(tbDez16[[#This Row],[Conta]],'Plano de Contas'!#REF!,0))</f>
        <v>#REF!</v>
      </c>
      <c r="K363" s="52" t="e">
        <f>INDEX('Plano de Contas'!#REF!,MATCH(tbDez16[[#This Row],[Conta]],'Plano de Contas'!#REF!,0))</f>
        <v>#REF!</v>
      </c>
      <c r="L363" t="e">
        <f>INDEX('Plano de Contas'!#REF!,MATCH(tbDez16[[#This Row],[Conta]],'Plano de Contas'!#REF!,0))</f>
        <v>#REF!</v>
      </c>
    </row>
    <row r="364" spans="1:12" x14ac:dyDescent="0.25">
      <c r="A364" t="s">
        <v>848</v>
      </c>
      <c r="B364" t="s">
        <v>2223</v>
      </c>
      <c r="C364" t="s">
        <v>2224</v>
      </c>
      <c r="D364">
        <v>11808.88</v>
      </c>
      <c r="E364">
        <v>4446.91</v>
      </c>
      <c r="F364">
        <v>0</v>
      </c>
      <c r="G364">
        <v>4446.91</v>
      </c>
      <c r="H364" s="1">
        <v>16255.79</v>
      </c>
      <c r="I364">
        <v>16.255790000000001</v>
      </c>
      <c r="J364" s="52" t="e">
        <f>INDEX('Plano de Contas'!#REF!,MATCH(tbDez16[[#This Row],[Conta]],'Plano de Contas'!#REF!,0))</f>
        <v>#REF!</v>
      </c>
      <c r="K364" s="52" t="e">
        <f>INDEX('Plano de Contas'!#REF!,MATCH(tbDez16[[#This Row],[Conta]],'Plano de Contas'!#REF!,0))</f>
        <v>#REF!</v>
      </c>
      <c r="L364" t="e">
        <f>INDEX('Plano de Contas'!#REF!,MATCH(tbDez16[[#This Row],[Conta]],'Plano de Contas'!#REF!,0))</f>
        <v>#REF!</v>
      </c>
    </row>
    <row r="365" spans="1:12" x14ac:dyDescent="0.25">
      <c r="A365" t="s">
        <v>850</v>
      </c>
      <c r="B365" t="s">
        <v>2225</v>
      </c>
      <c r="C365" t="s">
        <v>2226</v>
      </c>
      <c r="D365">
        <v>462722.78</v>
      </c>
      <c r="E365">
        <v>92187.95</v>
      </c>
      <c r="F365">
        <v>0</v>
      </c>
      <c r="G365">
        <v>92187.95</v>
      </c>
      <c r="H365" s="1">
        <v>554910.73</v>
      </c>
      <c r="I365">
        <v>554.91072999999994</v>
      </c>
      <c r="J365" s="52" t="e">
        <f>INDEX('Plano de Contas'!#REF!,MATCH(tbDez16[[#This Row],[Conta]],'Plano de Contas'!#REF!,0))</f>
        <v>#REF!</v>
      </c>
      <c r="K365" s="52" t="e">
        <f>INDEX('Plano de Contas'!#REF!,MATCH(tbDez16[[#This Row],[Conta]],'Plano de Contas'!#REF!,0))</f>
        <v>#REF!</v>
      </c>
      <c r="L365" t="e">
        <f>INDEX('Plano de Contas'!#REF!,MATCH(tbDez16[[#This Row],[Conta]],'Plano de Contas'!#REF!,0))</f>
        <v>#REF!</v>
      </c>
    </row>
    <row r="366" spans="1:12" x14ac:dyDescent="0.25">
      <c r="A366" t="s">
        <v>852</v>
      </c>
      <c r="B366" t="s">
        <v>2227</v>
      </c>
      <c r="C366" t="s">
        <v>2228</v>
      </c>
      <c r="D366">
        <v>22866.43</v>
      </c>
      <c r="E366">
        <v>152.53</v>
      </c>
      <c r="F366">
        <v>0</v>
      </c>
      <c r="G366">
        <v>152.53</v>
      </c>
      <c r="H366" s="1">
        <v>23018.959999999999</v>
      </c>
      <c r="I366">
        <v>23.01896</v>
      </c>
      <c r="J366" s="52" t="e">
        <f>INDEX('Plano de Contas'!#REF!,MATCH(tbDez16[[#This Row],[Conta]],'Plano de Contas'!#REF!,0))</f>
        <v>#REF!</v>
      </c>
      <c r="K366" s="52" t="e">
        <f>INDEX('Plano de Contas'!#REF!,MATCH(tbDez16[[#This Row],[Conta]],'Plano de Contas'!#REF!,0))</f>
        <v>#REF!</v>
      </c>
      <c r="L366" t="e">
        <f>INDEX('Plano de Contas'!#REF!,MATCH(tbDez16[[#This Row],[Conta]],'Plano de Contas'!#REF!,0))</f>
        <v>#REF!</v>
      </c>
    </row>
    <row r="367" spans="1:12" x14ac:dyDescent="0.25">
      <c r="A367" t="s">
        <v>854</v>
      </c>
      <c r="B367" t="s">
        <v>2229</v>
      </c>
      <c r="C367" t="s">
        <v>2230</v>
      </c>
      <c r="D367">
        <v>6519</v>
      </c>
      <c r="E367">
        <v>770</v>
      </c>
      <c r="F367">
        <v>0</v>
      </c>
      <c r="G367">
        <v>770</v>
      </c>
      <c r="H367" s="1">
        <v>7289</v>
      </c>
      <c r="I367">
        <v>7.2889999999999997</v>
      </c>
      <c r="J367" s="52" t="e">
        <f>INDEX('Plano de Contas'!#REF!,MATCH(tbDez16[[#This Row],[Conta]],'Plano de Contas'!#REF!,0))</f>
        <v>#REF!</v>
      </c>
      <c r="K367" s="52" t="e">
        <f>INDEX('Plano de Contas'!#REF!,MATCH(tbDez16[[#This Row],[Conta]],'Plano de Contas'!#REF!,0))</f>
        <v>#REF!</v>
      </c>
      <c r="L367" t="e">
        <f>INDEX('Plano de Contas'!#REF!,MATCH(tbDez16[[#This Row],[Conta]],'Plano de Contas'!#REF!,0))</f>
        <v>#REF!</v>
      </c>
    </row>
    <row r="368" spans="1:12" x14ac:dyDescent="0.25">
      <c r="A368" t="s">
        <v>856</v>
      </c>
      <c r="B368" t="s">
        <v>2231</v>
      </c>
      <c r="C368" t="s">
        <v>2232</v>
      </c>
      <c r="D368">
        <v>366973.97</v>
      </c>
      <c r="E368">
        <v>27435.5</v>
      </c>
      <c r="F368">
        <v>0</v>
      </c>
      <c r="G368">
        <v>27435.5</v>
      </c>
      <c r="H368" s="1">
        <v>394409.47</v>
      </c>
      <c r="I368">
        <v>394.40947</v>
      </c>
      <c r="J368" s="52" t="e">
        <f>INDEX('Plano de Contas'!#REF!,MATCH(tbDez16[[#This Row],[Conta]],'Plano de Contas'!#REF!,0))</f>
        <v>#REF!</v>
      </c>
      <c r="K368" s="52" t="e">
        <f>INDEX('Plano de Contas'!#REF!,MATCH(tbDez16[[#This Row],[Conta]],'Plano de Contas'!#REF!,0))</f>
        <v>#REF!</v>
      </c>
      <c r="L368" t="e">
        <f>INDEX('Plano de Contas'!#REF!,MATCH(tbDez16[[#This Row],[Conta]],'Plano de Contas'!#REF!,0))</f>
        <v>#REF!</v>
      </c>
    </row>
    <row r="369" spans="1:12" x14ac:dyDescent="0.25">
      <c r="A369" t="s">
        <v>858</v>
      </c>
      <c r="B369" t="s">
        <v>2233</v>
      </c>
      <c r="C369" t="s">
        <v>2234</v>
      </c>
      <c r="D369">
        <v>15046340.01</v>
      </c>
      <c r="E369">
        <v>1539597.08</v>
      </c>
      <c r="F369">
        <v>0</v>
      </c>
      <c r="G369">
        <v>1539597.08</v>
      </c>
      <c r="H369" s="1">
        <v>16585937.09</v>
      </c>
      <c r="I369">
        <v>16585.937089999999</v>
      </c>
      <c r="J369" s="52" t="e">
        <f>INDEX('Plano de Contas'!#REF!,MATCH(tbDez16[[#This Row],[Conta]],'Plano de Contas'!#REF!,0))</f>
        <v>#REF!</v>
      </c>
      <c r="K369" s="52" t="e">
        <f>INDEX('Plano de Contas'!#REF!,MATCH(tbDez16[[#This Row],[Conta]],'Plano de Contas'!#REF!,0))</f>
        <v>#REF!</v>
      </c>
      <c r="L369" t="e">
        <f>INDEX('Plano de Contas'!#REF!,MATCH(tbDez16[[#This Row],[Conta]],'Plano de Contas'!#REF!,0))</f>
        <v>#REF!</v>
      </c>
    </row>
    <row r="370" spans="1:12" x14ac:dyDescent="0.25">
      <c r="A370" t="s">
        <v>860</v>
      </c>
      <c r="B370" t="s">
        <v>2235</v>
      </c>
      <c r="C370" t="s">
        <v>2236</v>
      </c>
      <c r="D370">
        <v>834558.52</v>
      </c>
      <c r="E370">
        <v>86176.04</v>
      </c>
      <c r="F370">
        <v>0</v>
      </c>
      <c r="G370">
        <v>86176.04</v>
      </c>
      <c r="H370" s="1">
        <v>920734.56</v>
      </c>
      <c r="I370">
        <v>920.7345600000001</v>
      </c>
      <c r="J370" s="52" t="e">
        <f>INDEX('Plano de Contas'!#REF!,MATCH(tbDez16[[#This Row],[Conta]],'Plano de Contas'!#REF!,0))</f>
        <v>#REF!</v>
      </c>
      <c r="K370" s="52" t="e">
        <f>INDEX('Plano de Contas'!#REF!,MATCH(tbDez16[[#This Row],[Conta]],'Plano de Contas'!#REF!,0))</f>
        <v>#REF!</v>
      </c>
      <c r="L370" t="e">
        <f>INDEX('Plano de Contas'!#REF!,MATCH(tbDez16[[#This Row],[Conta]],'Plano de Contas'!#REF!,0))</f>
        <v>#REF!</v>
      </c>
    </row>
    <row r="371" spans="1:12" x14ac:dyDescent="0.25">
      <c r="A371" t="s">
        <v>862</v>
      </c>
      <c r="B371" t="s">
        <v>2237</v>
      </c>
      <c r="C371" t="s">
        <v>2238</v>
      </c>
      <c r="D371">
        <v>2763566.01</v>
      </c>
      <c r="E371">
        <v>437852.45</v>
      </c>
      <c r="F371">
        <v>0</v>
      </c>
      <c r="G371">
        <v>437852.45</v>
      </c>
      <c r="H371" s="1">
        <v>3201418.46</v>
      </c>
      <c r="I371">
        <v>3201.4184599999999</v>
      </c>
      <c r="J371" s="52" t="e">
        <f>INDEX('Plano de Contas'!#REF!,MATCH(tbDez16[[#This Row],[Conta]],'Plano de Contas'!#REF!,0))</f>
        <v>#REF!</v>
      </c>
      <c r="K371" s="52" t="e">
        <f>INDEX('Plano de Contas'!#REF!,MATCH(tbDez16[[#This Row],[Conta]],'Plano de Contas'!#REF!,0))</f>
        <v>#REF!</v>
      </c>
      <c r="L371" t="e">
        <f>INDEX('Plano de Contas'!#REF!,MATCH(tbDez16[[#This Row],[Conta]],'Plano de Contas'!#REF!,0))</f>
        <v>#REF!</v>
      </c>
    </row>
    <row r="372" spans="1:12" x14ac:dyDescent="0.25">
      <c r="A372" t="s">
        <v>864</v>
      </c>
      <c r="B372" t="s">
        <v>2239</v>
      </c>
      <c r="C372" t="s">
        <v>2240</v>
      </c>
      <c r="D372">
        <v>3560711.77</v>
      </c>
      <c r="E372">
        <v>743463.57</v>
      </c>
      <c r="F372">
        <v>34491.660000000003</v>
      </c>
      <c r="G372">
        <v>708971.90999999992</v>
      </c>
      <c r="H372" s="1">
        <v>4269683.68</v>
      </c>
      <c r="I372">
        <v>4269.6836800000001</v>
      </c>
      <c r="J372" s="52" t="e">
        <f>INDEX('Plano de Contas'!#REF!,MATCH(tbDez16[[#This Row],[Conta]],'Plano de Contas'!#REF!,0))</f>
        <v>#REF!</v>
      </c>
      <c r="K372" s="52" t="e">
        <f>INDEX('Plano de Contas'!#REF!,MATCH(tbDez16[[#This Row],[Conta]],'Plano de Contas'!#REF!,0))</f>
        <v>#REF!</v>
      </c>
      <c r="L372" t="e">
        <f>INDEX('Plano de Contas'!#REF!,MATCH(tbDez16[[#This Row],[Conta]],'Plano de Contas'!#REF!,0))</f>
        <v>#REF!</v>
      </c>
    </row>
    <row r="373" spans="1:12" x14ac:dyDescent="0.25">
      <c r="A373" t="s">
        <v>866</v>
      </c>
      <c r="B373" t="s">
        <v>2241</v>
      </c>
      <c r="C373" t="s">
        <v>2242</v>
      </c>
      <c r="D373">
        <v>19520142.949999999</v>
      </c>
      <c r="E373">
        <v>1796200.79</v>
      </c>
      <c r="F373">
        <v>16967.16</v>
      </c>
      <c r="G373">
        <v>1779233.6300000001</v>
      </c>
      <c r="H373" s="1">
        <v>21299376.579999998</v>
      </c>
      <c r="I373">
        <v>21299.376579999996</v>
      </c>
      <c r="J373" s="52" t="e">
        <f>INDEX('Plano de Contas'!#REF!,MATCH(tbDez16[[#This Row],[Conta]],'Plano de Contas'!#REF!,0))</f>
        <v>#REF!</v>
      </c>
      <c r="K373" s="52" t="e">
        <f>INDEX('Plano de Contas'!#REF!,MATCH(tbDez16[[#This Row],[Conta]],'Plano de Contas'!#REF!,0))</f>
        <v>#REF!</v>
      </c>
      <c r="L373" t="e">
        <f>INDEX('Plano de Contas'!#REF!,MATCH(tbDez16[[#This Row],[Conta]],'Plano de Contas'!#REF!,0))</f>
        <v>#REF!</v>
      </c>
    </row>
    <row r="374" spans="1:12" x14ac:dyDescent="0.25">
      <c r="A374" t="s">
        <v>868</v>
      </c>
      <c r="B374" t="s">
        <v>2243</v>
      </c>
      <c r="C374" t="s">
        <v>2244</v>
      </c>
      <c r="D374">
        <v>3566.21</v>
      </c>
      <c r="E374">
        <v>3193</v>
      </c>
      <c r="F374">
        <v>0</v>
      </c>
      <c r="G374">
        <v>3193</v>
      </c>
      <c r="H374" s="1">
        <v>6759.21</v>
      </c>
      <c r="I374">
        <v>6.7592100000000004</v>
      </c>
      <c r="J374" s="52" t="e">
        <f>INDEX('Plano de Contas'!#REF!,MATCH(tbDez16[[#This Row],[Conta]],'Plano de Contas'!#REF!,0))</f>
        <v>#REF!</v>
      </c>
      <c r="K374" s="52" t="e">
        <f>INDEX('Plano de Contas'!#REF!,MATCH(tbDez16[[#This Row],[Conta]],'Plano de Contas'!#REF!,0))</f>
        <v>#REF!</v>
      </c>
      <c r="L374" t="e">
        <f>INDEX('Plano de Contas'!#REF!,MATCH(tbDez16[[#This Row],[Conta]],'Plano de Contas'!#REF!,0))</f>
        <v>#REF!</v>
      </c>
    </row>
    <row r="375" spans="1:12" x14ac:dyDescent="0.25">
      <c r="A375" t="s">
        <v>870</v>
      </c>
      <c r="B375" t="s">
        <v>2245</v>
      </c>
      <c r="C375" t="s">
        <v>2246</v>
      </c>
      <c r="D375">
        <v>32720.92</v>
      </c>
      <c r="E375">
        <v>17208.8</v>
      </c>
      <c r="F375">
        <v>0</v>
      </c>
      <c r="G375">
        <v>17208.8</v>
      </c>
      <c r="H375" s="1">
        <v>49929.72</v>
      </c>
      <c r="I375">
        <v>49.929720000000003</v>
      </c>
      <c r="J375" s="52" t="e">
        <f>INDEX('Plano de Contas'!#REF!,MATCH(tbDez16[[#This Row],[Conta]],'Plano de Contas'!#REF!,0))</f>
        <v>#REF!</v>
      </c>
      <c r="K375" s="52" t="e">
        <f>INDEX('Plano de Contas'!#REF!,MATCH(tbDez16[[#This Row],[Conta]],'Plano de Contas'!#REF!,0))</f>
        <v>#REF!</v>
      </c>
      <c r="L375" t="e">
        <f>INDEX('Plano de Contas'!#REF!,MATCH(tbDez16[[#This Row],[Conta]],'Plano de Contas'!#REF!,0))</f>
        <v>#REF!</v>
      </c>
    </row>
    <row r="376" spans="1:12" x14ac:dyDescent="0.25">
      <c r="A376" t="s">
        <v>872</v>
      </c>
      <c r="B376" t="s">
        <v>2247</v>
      </c>
      <c r="C376" t="s">
        <v>2248</v>
      </c>
      <c r="D376">
        <v>307069.73</v>
      </c>
      <c r="E376">
        <v>34761.5</v>
      </c>
      <c r="F376">
        <v>0</v>
      </c>
      <c r="G376">
        <v>34761.5</v>
      </c>
      <c r="H376" s="1">
        <v>341831.23</v>
      </c>
      <c r="I376">
        <v>341.83123000000001</v>
      </c>
      <c r="J376" s="52" t="e">
        <f>INDEX('Plano de Contas'!#REF!,MATCH(tbDez16[[#This Row],[Conta]],'Plano de Contas'!#REF!,0))</f>
        <v>#REF!</v>
      </c>
      <c r="K376" s="52" t="e">
        <f>INDEX('Plano de Contas'!#REF!,MATCH(tbDez16[[#This Row],[Conta]],'Plano de Contas'!#REF!,0))</f>
        <v>#REF!</v>
      </c>
      <c r="L376" t="e">
        <f>INDEX('Plano de Contas'!#REF!,MATCH(tbDez16[[#This Row],[Conta]],'Plano de Contas'!#REF!,0))</f>
        <v>#REF!</v>
      </c>
    </row>
    <row r="377" spans="1:12" x14ac:dyDescent="0.25">
      <c r="A377" t="s">
        <v>874</v>
      </c>
      <c r="B377" t="s">
        <v>2249</v>
      </c>
      <c r="C377" t="s">
        <v>2250</v>
      </c>
      <c r="D377">
        <v>152147.07999999999</v>
      </c>
      <c r="E377">
        <v>182.22</v>
      </c>
      <c r="F377">
        <v>0</v>
      </c>
      <c r="G377">
        <v>182.22</v>
      </c>
      <c r="H377" s="1">
        <v>152329.29999999999</v>
      </c>
      <c r="I377">
        <v>152.32929999999999</v>
      </c>
      <c r="J377" s="52" t="e">
        <f>INDEX('Plano de Contas'!#REF!,MATCH(tbDez16[[#This Row],[Conta]],'Plano de Contas'!#REF!,0))</f>
        <v>#REF!</v>
      </c>
      <c r="K377" s="52" t="e">
        <f>INDEX('Plano de Contas'!#REF!,MATCH(tbDez16[[#This Row],[Conta]],'Plano de Contas'!#REF!,0))</f>
        <v>#REF!</v>
      </c>
      <c r="L377" t="e">
        <f>INDEX('Plano de Contas'!#REF!,MATCH(tbDez16[[#This Row],[Conta]],'Plano de Contas'!#REF!,0))</f>
        <v>#REF!</v>
      </c>
    </row>
    <row r="378" spans="1:12" x14ac:dyDescent="0.25">
      <c r="A378" t="s">
        <v>876</v>
      </c>
      <c r="B378" t="s">
        <v>2251</v>
      </c>
      <c r="C378" t="s">
        <v>2252</v>
      </c>
      <c r="D378">
        <v>28588.09</v>
      </c>
      <c r="E378">
        <v>181.18</v>
      </c>
      <c r="F378">
        <v>0</v>
      </c>
      <c r="G378">
        <v>181.18</v>
      </c>
      <c r="H378" s="1">
        <v>28769.27</v>
      </c>
      <c r="I378">
        <v>28.769269999999999</v>
      </c>
      <c r="J378" s="52" t="e">
        <f>INDEX('Plano de Contas'!#REF!,MATCH(tbDez16[[#This Row],[Conta]],'Plano de Contas'!#REF!,0))</f>
        <v>#REF!</v>
      </c>
      <c r="K378" s="52" t="e">
        <f>INDEX('Plano de Contas'!#REF!,MATCH(tbDez16[[#This Row],[Conta]],'Plano de Contas'!#REF!,0))</f>
        <v>#REF!</v>
      </c>
      <c r="L378" t="e">
        <f>INDEX('Plano de Contas'!#REF!,MATCH(tbDez16[[#This Row],[Conta]],'Plano de Contas'!#REF!,0))</f>
        <v>#REF!</v>
      </c>
    </row>
    <row r="379" spans="1:12" x14ac:dyDescent="0.25">
      <c r="A379" t="s">
        <v>878</v>
      </c>
      <c r="B379" t="s">
        <v>2253</v>
      </c>
      <c r="C379" t="s">
        <v>2254</v>
      </c>
      <c r="D379">
        <v>753633.76</v>
      </c>
      <c r="E379">
        <v>305042.8</v>
      </c>
      <c r="F379">
        <v>0</v>
      </c>
      <c r="G379">
        <v>305042.8</v>
      </c>
      <c r="H379" s="1">
        <v>1058676.56</v>
      </c>
      <c r="I379">
        <v>1058.6765600000001</v>
      </c>
      <c r="J379" s="52" t="e">
        <f>INDEX('Plano de Contas'!#REF!,MATCH(tbDez16[[#This Row],[Conta]],'Plano de Contas'!#REF!,0))</f>
        <v>#REF!</v>
      </c>
      <c r="K379" s="52" t="e">
        <f>INDEX('Plano de Contas'!#REF!,MATCH(tbDez16[[#This Row],[Conta]],'Plano de Contas'!#REF!,0))</f>
        <v>#REF!</v>
      </c>
      <c r="L379" t="e">
        <f>INDEX('Plano de Contas'!#REF!,MATCH(tbDez16[[#This Row],[Conta]],'Plano de Contas'!#REF!,0))</f>
        <v>#REF!</v>
      </c>
    </row>
    <row r="380" spans="1:12" x14ac:dyDescent="0.25">
      <c r="A380" t="s">
        <v>880</v>
      </c>
      <c r="B380" t="s">
        <v>2255</v>
      </c>
      <c r="C380" t="s">
        <v>2256</v>
      </c>
      <c r="D380">
        <v>12054.7</v>
      </c>
      <c r="E380">
        <v>499.45</v>
      </c>
      <c r="F380">
        <v>0</v>
      </c>
      <c r="G380">
        <v>499.45</v>
      </c>
      <c r="H380" s="1">
        <v>12554.15</v>
      </c>
      <c r="I380">
        <v>12.55415</v>
      </c>
      <c r="J380" s="52" t="e">
        <f>INDEX('Plano de Contas'!#REF!,MATCH(tbDez16[[#This Row],[Conta]],'Plano de Contas'!#REF!,0))</f>
        <v>#REF!</v>
      </c>
      <c r="K380" s="52" t="e">
        <f>INDEX('Plano de Contas'!#REF!,MATCH(tbDez16[[#This Row],[Conta]],'Plano de Contas'!#REF!,0))</f>
        <v>#REF!</v>
      </c>
      <c r="L380" t="e">
        <f>INDEX('Plano de Contas'!#REF!,MATCH(tbDez16[[#This Row],[Conta]],'Plano de Contas'!#REF!,0))</f>
        <v>#REF!</v>
      </c>
    </row>
    <row r="381" spans="1:12" x14ac:dyDescent="0.25">
      <c r="A381" t="s">
        <v>882</v>
      </c>
      <c r="B381" t="s">
        <v>2257</v>
      </c>
      <c r="C381" t="s">
        <v>2258</v>
      </c>
      <c r="D381">
        <v>19990.21</v>
      </c>
      <c r="E381">
        <v>0</v>
      </c>
      <c r="F381">
        <v>0</v>
      </c>
      <c r="G381">
        <v>0</v>
      </c>
      <c r="H381" s="1">
        <v>19990.21</v>
      </c>
      <c r="I381">
        <v>19.990209999999998</v>
      </c>
      <c r="J381" s="52" t="e">
        <f>INDEX('Plano de Contas'!#REF!,MATCH(tbDez16[[#This Row],[Conta]],'Plano de Contas'!#REF!,0))</f>
        <v>#REF!</v>
      </c>
      <c r="K381" s="52" t="e">
        <f>INDEX('Plano de Contas'!#REF!,MATCH(tbDez16[[#This Row],[Conta]],'Plano de Contas'!#REF!,0))</f>
        <v>#REF!</v>
      </c>
      <c r="L381" t="e">
        <f>INDEX('Plano de Contas'!#REF!,MATCH(tbDez16[[#This Row],[Conta]],'Plano de Contas'!#REF!,0))</f>
        <v>#REF!</v>
      </c>
    </row>
    <row r="382" spans="1:12" x14ac:dyDescent="0.25">
      <c r="A382" t="s">
        <v>884</v>
      </c>
      <c r="B382" t="s">
        <v>2259</v>
      </c>
      <c r="C382" t="s">
        <v>2260</v>
      </c>
      <c r="D382">
        <v>2718.3</v>
      </c>
      <c r="E382">
        <v>0</v>
      </c>
      <c r="F382">
        <v>0</v>
      </c>
      <c r="G382">
        <v>0</v>
      </c>
      <c r="H382" s="1">
        <v>2718.3</v>
      </c>
      <c r="I382">
        <v>2.7183000000000002</v>
      </c>
      <c r="J382" s="52" t="e">
        <f>INDEX('Plano de Contas'!#REF!,MATCH(tbDez16[[#This Row],[Conta]],'Plano de Contas'!#REF!,0))</f>
        <v>#REF!</v>
      </c>
      <c r="K382" s="52" t="e">
        <f>INDEX('Plano de Contas'!#REF!,MATCH(tbDez16[[#This Row],[Conta]],'Plano de Contas'!#REF!,0))</f>
        <v>#REF!</v>
      </c>
      <c r="L382" t="e">
        <f>INDEX('Plano de Contas'!#REF!,MATCH(tbDez16[[#This Row],[Conta]],'Plano de Contas'!#REF!,0))</f>
        <v>#REF!</v>
      </c>
    </row>
    <row r="383" spans="1:12" x14ac:dyDescent="0.25">
      <c r="A383" t="s">
        <v>888</v>
      </c>
      <c r="B383" t="s">
        <v>2261</v>
      </c>
      <c r="C383" t="s">
        <v>2262</v>
      </c>
      <c r="D383">
        <v>193246.59</v>
      </c>
      <c r="E383">
        <v>9728.19</v>
      </c>
      <c r="F383">
        <v>0</v>
      </c>
      <c r="G383">
        <v>9728.19</v>
      </c>
      <c r="H383" s="1">
        <v>202974.78</v>
      </c>
      <c r="I383">
        <v>202.97478000000001</v>
      </c>
      <c r="J383" s="52" t="e">
        <f>INDEX('Plano de Contas'!#REF!,MATCH(tbDez16[[#This Row],[Conta]],'Plano de Contas'!#REF!,0))</f>
        <v>#REF!</v>
      </c>
      <c r="K383" s="52" t="e">
        <f>INDEX('Plano de Contas'!#REF!,MATCH(tbDez16[[#This Row],[Conta]],'Plano de Contas'!#REF!,0))</f>
        <v>#REF!</v>
      </c>
      <c r="L383" t="e">
        <f>INDEX('Plano de Contas'!#REF!,MATCH(tbDez16[[#This Row],[Conta]],'Plano de Contas'!#REF!,0))</f>
        <v>#REF!</v>
      </c>
    </row>
    <row r="384" spans="1:12" x14ac:dyDescent="0.25">
      <c r="A384" t="s">
        <v>890</v>
      </c>
      <c r="B384" t="s">
        <v>2263</v>
      </c>
      <c r="C384" t="s">
        <v>2264</v>
      </c>
      <c r="D384">
        <v>2663.44</v>
      </c>
      <c r="E384">
        <v>639</v>
      </c>
      <c r="F384">
        <v>0</v>
      </c>
      <c r="G384">
        <v>639</v>
      </c>
      <c r="H384" s="1">
        <v>3302.44</v>
      </c>
      <c r="I384">
        <v>3.3024400000000003</v>
      </c>
      <c r="J384" s="52" t="e">
        <f>INDEX('Plano de Contas'!#REF!,MATCH(tbDez16[[#This Row],[Conta]],'Plano de Contas'!#REF!,0))</f>
        <v>#REF!</v>
      </c>
      <c r="K384" s="52" t="e">
        <f>INDEX('Plano de Contas'!#REF!,MATCH(tbDez16[[#This Row],[Conta]],'Plano de Contas'!#REF!,0))</f>
        <v>#REF!</v>
      </c>
      <c r="L384" t="e">
        <f>INDEX('Plano de Contas'!#REF!,MATCH(tbDez16[[#This Row],[Conta]],'Plano de Contas'!#REF!,0))</f>
        <v>#REF!</v>
      </c>
    </row>
    <row r="385" spans="1:12" x14ac:dyDescent="0.25">
      <c r="A385" t="s">
        <v>892</v>
      </c>
      <c r="B385" t="s">
        <v>2265</v>
      </c>
      <c r="C385" t="s">
        <v>2266</v>
      </c>
      <c r="D385">
        <v>3267.52</v>
      </c>
      <c r="E385">
        <v>0</v>
      </c>
      <c r="F385">
        <v>0</v>
      </c>
      <c r="G385">
        <v>0</v>
      </c>
      <c r="H385" s="1">
        <v>3267.52</v>
      </c>
      <c r="I385">
        <v>3.2675200000000002</v>
      </c>
      <c r="J385" s="52" t="e">
        <f>INDEX('Plano de Contas'!#REF!,MATCH(tbDez16[[#This Row],[Conta]],'Plano de Contas'!#REF!,0))</f>
        <v>#REF!</v>
      </c>
      <c r="K385" s="52" t="e">
        <f>INDEX('Plano de Contas'!#REF!,MATCH(tbDez16[[#This Row],[Conta]],'Plano de Contas'!#REF!,0))</f>
        <v>#REF!</v>
      </c>
      <c r="L385" t="e">
        <f>INDEX('Plano de Contas'!#REF!,MATCH(tbDez16[[#This Row],[Conta]],'Plano de Contas'!#REF!,0))</f>
        <v>#REF!</v>
      </c>
    </row>
    <row r="386" spans="1:12" x14ac:dyDescent="0.25">
      <c r="A386" t="s">
        <v>894</v>
      </c>
      <c r="B386" t="s">
        <v>2267</v>
      </c>
      <c r="C386" t="s">
        <v>2268</v>
      </c>
      <c r="D386">
        <v>198708.18</v>
      </c>
      <c r="E386">
        <v>0</v>
      </c>
      <c r="F386">
        <v>0</v>
      </c>
      <c r="G386">
        <v>0</v>
      </c>
      <c r="H386" s="1">
        <v>198708.18</v>
      </c>
      <c r="I386">
        <v>198.70818</v>
      </c>
      <c r="J386" s="52" t="e">
        <f>INDEX('Plano de Contas'!#REF!,MATCH(tbDez16[[#This Row],[Conta]],'Plano de Contas'!#REF!,0))</f>
        <v>#REF!</v>
      </c>
      <c r="K386" s="52" t="e">
        <f>INDEX('Plano de Contas'!#REF!,MATCH(tbDez16[[#This Row],[Conta]],'Plano de Contas'!#REF!,0))</f>
        <v>#REF!</v>
      </c>
      <c r="L386" t="e">
        <f>INDEX('Plano de Contas'!#REF!,MATCH(tbDez16[[#This Row],[Conta]],'Plano de Contas'!#REF!,0))</f>
        <v>#REF!</v>
      </c>
    </row>
    <row r="387" spans="1:12" x14ac:dyDescent="0.25">
      <c r="A387" t="s">
        <v>896</v>
      </c>
      <c r="B387" t="s">
        <v>2269</v>
      </c>
      <c r="C387" t="s">
        <v>2270</v>
      </c>
      <c r="D387">
        <v>17118</v>
      </c>
      <c r="E387">
        <v>0</v>
      </c>
      <c r="F387">
        <v>0</v>
      </c>
      <c r="G387">
        <v>0</v>
      </c>
      <c r="H387" s="1">
        <v>17118</v>
      </c>
      <c r="I387">
        <v>17.117999999999999</v>
      </c>
      <c r="J387" s="52" t="e">
        <f>INDEX('Plano de Contas'!#REF!,MATCH(tbDez16[[#This Row],[Conta]],'Plano de Contas'!#REF!,0))</f>
        <v>#REF!</v>
      </c>
      <c r="K387" s="52" t="e">
        <f>INDEX('Plano de Contas'!#REF!,MATCH(tbDez16[[#This Row],[Conta]],'Plano de Contas'!#REF!,0))</f>
        <v>#REF!</v>
      </c>
      <c r="L387" t="e">
        <f>INDEX('Plano de Contas'!#REF!,MATCH(tbDez16[[#This Row],[Conta]],'Plano de Contas'!#REF!,0))</f>
        <v>#REF!</v>
      </c>
    </row>
    <row r="388" spans="1:12" x14ac:dyDescent="0.25">
      <c r="A388" t="s">
        <v>898</v>
      </c>
      <c r="B388" t="s">
        <v>2271</v>
      </c>
      <c r="C388" t="s">
        <v>2272</v>
      </c>
      <c r="D388">
        <v>267280.15000000002</v>
      </c>
      <c r="E388">
        <v>43197.5</v>
      </c>
      <c r="F388">
        <v>0</v>
      </c>
      <c r="G388">
        <v>43197.5</v>
      </c>
      <c r="H388" s="1">
        <v>310477.65000000002</v>
      </c>
      <c r="I388">
        <v>310.47765000000004</v>
      </c>
      <c r="J388" s="52" t="e">
        <f>INDEX('Plano de Contas'!#REF!,MATCH(tbDez16[[#This Row],[Conta]],'Plano de Contas'!#REF!,0))</f>
        <v>#REF!</v>
      </c>
      <c r="K388" s="52" t="e">
        <f>INDEX('Plano de Contas'!#REF!,MATCH(tbDez16[[#This Row],[Conta]],'Plano de Contas'!#REF!,0))</f>
        <v>#REF!</v>
      </c>
      <c r="L388" t="e">
        <f>INDEX('Plano de Contas'!#REF!,MATCH(tbDez16[[#This Row],[Conta]],'Plano de Contas'!#REF!,0))</f>
        <v>#REF!</v>
      </c>
    </row>
    <row r="389" spans="1:12" x14ac:dyDescent="0.25">
      <c r="A389" t="s">
        <v>900</v>
      </c>
      <c r="B389" t="s">
        <v>2273</v>
      </c>
      <c r="C389" t="s">
        <v>2274</v>
      </c>
      <c r="D389">
        <v>323586.82</v>
      </c>
      <c r="E389">
        <v>38113.81</v>
      </c>
      <c r="F389">
        <v>0</v>
      </c>
      <c r="G389">
        <v>38113.81</v>
      </c>
      <c r="H389" s="1">
        <v>361700.63</v>
      </c>
      <c r="I389">
        <v>361.70062999999999</v>
      </c>
      <c r="J389" s="52" t="e">
        <f>INDEX('Plano de Contas'!#REF!,MATCH(tbDez16[[#This Row],[Conta]],'Plano de Contas'!#REF!,0))</f>
        <v>#REF!</v>
      </c>
      <c r="K389" s="52" t="e">
        <f>INDEX('Plano de Contas'!#REF!,MATCH(tbDez16[[#This Row],[Conta]],'Plano de Contas'!#REF!,0))</f>
        <v>#REF!</v>
      </c>
      <c r="L389" t="e">
        <f>INDEX('Plano de Contas'!#REF!,MATCH(tbDez16[[#This Row],[Conta]],'Plano de Contas'!#REF!,0))</f>
        <v>#REF!</v>
      </c>
    </row>
    <row r="390" spans="1:12" x14ac:dyDescent="0.25">
      <c r="A390" t="s">
        <v>902</v>
      </c>
      <c r="B390" t="s">
        <v>2275</v>
      </c>
      <c r="C390" t="s">
        <v>2276</v>
      </c>
      <c r="D390">
        <v>0</v>
      </c>
      <c r="E390">
        <v>0</v>
      </c>
      <c r="F390">
        <v>334.39</v>
      </c>
      <c r="G390">
        <v>-334.39</v>
      </c>
      <c r="H390" s="1">
        <v>-334.39</v>
      </c>
      <c r="I390">
        <v>-0.33438999999999997</v>
      </c>
      <c r="J390" s="52" t="e">
        <f>INDEX('Plano de Contas'!#REF!,MATCH(tbDez16[[#This Row],[Conta]],'Plano de Contas'!#REF!,0))</f>
        <v>#REF!</v>
      </c>
      <c r="K390" s="52" t="e">
        <f>INDEX('Plano de Contas'!#REF!,MATCH(tbDez16[[#This Row],[Conta]],'Plano de Contas'!#REF!,0))</f>
        <v>#REF!</v>
      </c>
      <c r="L390" t="e">
        <f>INDEX('Plano de Contas'!#REF!,MATCH(tbDez16[[#This Row],[Conta]],'Plano de Contas'!#REF!,0))</f>
        <v>#REF!</v>
      </c>
    </row>
    <row r="391" spans="1:12" x14ac:dyDescent="0.25">
      <c r="A391" t="s">
        <v>904</v>
      </c>
      <c r="B391" t="s">
        <v>2277</v>
      </c>
      <c r="C391" t="s">
        <v>2278</v>
      </c>
      <c r="D391">
        <v>2649289.69</v>
      </c>
      <c r="E391">
        <v>242404.59</v>
      </c>
      <c r="F391">
        <v>0</v>
      </c>
      <c r="G391">
        <v>242404.59</v>
      </c>
      <c r="H391" s="1">
        <v>2891694.28</v>
      </c>
      <c r="I391">
        <v>2891.6942799999997</v>
      </c>
      <c r="J391" s="52" t="e">
        <f>INDEX('Plano de Contas'!#REF!,MATCH(tbDez16[[#This Row],[Conta]],'Plano de Contas'!#REF!,0))</f>
        <v>#REF!</v>
      </c>
      <c r="K391" s="52" t="e">
        <f>INDEX('Plano de Contas'!#REF!,MATCH(tbDez16[[#This Row],[Conta]],'Plano de Contas'!#REF!,0))</f>
        <v>#REF!</v>
      </c>
      <c r="L391" t="e">
        <f>INDEX('Plano de Contas'!#REF!,MATCH(tbDez16[[#This Row],[Conta]],'Plano de Contas'!#REF!,0))</f>
        <v>#REF!</v>
      </c>
    </row>
    <row r="392" spans="1:12" x14ac:dyDescent="0.25">
      <c r="A392" t="s">
        <v>906</v>
      </c>
      <c r="B392" t="s">
        <v>2279</v>
      </c>
      <c r="C392" t="s">
        <v>2280</v>
      </c>
      <c r="D392">
        <v>261267.62</v>
      </c>
      <c r="E392">
        <v>22535.25</v>
      </c>
      <c r="F392">
        <v>0</v>
      </c>
      <c r="G392">
        <v>22535.25</v>
      </c>
      <c r="H392" s="1">
        <v>283802.87</v>
      </c>
      <c r="I392">
        <v>283.80286999999998</v>
      </c>
      <c r="J392" s="52" t="e">
        <f>INDEX('Plano de Contas'!#REF!,MATCH(tbDez16[[#This Row],[Conta]],'Plano de Contas'!#REF!,0))</f>
        <v>#REF!</v>
      </c>
      <c r="K392" s="52" t="e">
        <f>INDEX('Plano de Contas'!#REF!,MATCH(tbDez16[[#This Row],[Conta]],'Plano de Contas'!#REF!,0))</f>
        <v>#REF!</v>
      </c>
      <c r="L392" t="e">
        <f>INDEX('Plano de Contas'!#REF!,MATCH(tbDez16[[#This Row],[Conta]],'Plano de Contas'!#REF!,0))</f>
        <v>#REF!</v>
      </c>
    </row>
    <row r="393" spans="1:12" x14ac:dyDescent="0.25">
      <c r="A393" t="s">
        <v>910</v>
      </c>
      <c r="B393" t="s">
        <v>2281</v>
      </c>
      <c r="C393" t="s">
        <v>2282</v>
      </c>
      <c r="D393">
        <v>73812.75</v>
      </c>
      <c r="E393">
        <v>5479.09</v>
      </c>
      <c r="F393">
        <v>0</v>
      </c>
      <c r="G393">
        <v>5479.09</v>
      </c>
      <c r="H393" s="1">
        <v>79291.839999999997</v>
      </c>
      <c r="I393">
        <v>79.291839999999993</v>
      </c>
      <c r="J393" s="52" t="e">
        <f>INDEX('Plano de Contas'!#REF!,MATCH(tbDez16[[#This Row],[Conta]],'Plano de Contas'!#REF!,0))</f>
        <v>#REF!</v>
      </c>
      <c r="K393" s="52" t="e">
        <f>INDEX('Plano de Contas'!#REF!,MATCH(tbDez16[[#This Row],[Conta]],'Plano de Contas'!#REF!,0))</f>
        <v>#REF!</v>
      </c>
      <c r="L393" t="e">
        <f>INDEX('Plano de Contas'!#REF!,MATCH(tbDez16[[#This Row],[Conta]],'Plano de Contas'!#REF!,0))</f>
        <v>#REF!</v>
      </c>
    </row>
    <row r="394" spans="1:12" x14ac:dyDescent="0.25">
      <c r="A394" t="s">
        <v>912</v>
      </c>
      <c r="B394" t="s">
        <v>2283</v>
      </c>
      <c r="C394" t="s">
        <v>2284</v>
      </c>
      <c r="D394">
        <v>-266117.3</v>
      </c>
      <c r="E394">
        <v>340208.13</v>
      </c>
      <c r="F394">
        <v>0</v>
      </c>
      <c r="G394">
        <v>340208.13</v>
      </c>
      <c r="H394" s="1">
        <v>74090.83</v>
      </c>
      <c r="I394">
        <v>74.090829999999997</v>
      </c>
      <c r="J394" s="52" t="e">
        <f>INDEX('Plano de Contas'!#REF!,MATCH(tbDez16[[#This Row],[Conta]],'Plano de Contas'!#REF!,0))</f>
        <v>#REF!</v>
      </c>
      <c r="K394" s="52" t="e">
        <f>INDEX('Plano de Contas'!#REF!,MATCH(tbDez16[[#This Row],[Conta]],'Plano de Contas'!#REF!,0))</f>
        <v>#REF!</v>
      </c>
      <c r="L394" t="e">
        <f>INDEX('Plano de Contas'!#REF!,MATCH(tbDez16[[#This Row],[Conta]],'Plano de Contas'!#REF!,0))</f>
        <v>#REF!</v>
      </c>
    </row>
    <row r="395" spans="1:12" x14ac:dyDescent="0.25">
      <c r="A395" t="s">
        <v>1066</v>
      </c>
      <c r="B395" t="s">
        <v>2285</v>
      </c>
      <c r="C395" t="s">
        <v>2286</v>
      </c>
      <c r="D395">
        <v>95423.12</v>
      </c>
      <c r="E395">
        <v>0</v>
      </c>
      <c r="F395">
        <v>0</v>
      </c>
      <c r="G395">
        <v>0</v>
      </c>
      <c r="H395" s="1">
        <v>95423.12</v>
      </c>
      <c r="I395">
        <v>95.423119999999997</v>
      </c>
      <c r="J395" s="52" t="e">
        <f>INDEX('Plano de Contas'!#REF!,MATCH(tbDez16[[#This Row],[Conta]],'Plano de Contas'!#REF!,0))</f>
        <v>#REF!</v>
      </c>
      <c r="K395" s="52" t="e">
        <f>INDEX('Plano de Contas'!#REF!,MATCH(tbDez16[[#This Row],[Conta]],'Plano de Contas'!#REF!,0))</f>
        <v>#REF!</v>
      </c>
      <c r="L395" t="e">
        <f>INDEX('Plano de Contas'!#REF!,MATCH(tbDez16[[#This Row],[Conta]],'Plano de Contas'!#REF!,0))</f>
        <v>#REF!</v>
      </c>
    </row>
    <row r="396" spans="1:12" x14ac:dyDescent="0.25">
      <c r="A396" t="s">
        <v>1068</v>
      </c>
      <c r="B396" t="s">
        <v>2287</v>
      </c>
      <c r="C396" t="s">
        <v>2288</v>
      </c>
      <c r="D396">
        <v>0</v>
      </c>
      <c r="E396">
        <v>989437.92</v>
      </c>
      <c r="F396">
        <v>0</v>
      </c>
      <c r="G396">
        <v>989437.92</v>
      </c>
      <c r="H396" s="1">
        <v>989437.92</v>
      </c>
      <c r="I396">
        <v>989.43792000000008</v>
      </c>
      <c r="J396" s="52" t="e">
        <f>INDEX('Plano de Contas'!#REF!,MATCH(tbDez16[[#This Row],[Conta]],'Plano de Contas'!#REF!,0))</f>
        <v>#REF!</v>
      </c>
      <c r="K396" s="52" t="e">
        <f>INDEX('Plano de Contas'!#REF!,MATCH(tbDez16[[#This Row],[Conta]],'Plano de Contas'!#REF!,0))</f>
        <v>#REF!</v>
      </c>
      <c r="L396" t="e">
        <f>INDEX('Plano de Contas'!#REF!,MATCH(tbDez16[[#This Row],[Conta]],'Plano de Contas'!#REF!,0))</f>
        <v>#REF!</v>
      </c>
    </row>
    <row r="397" spans="1:12" x14ac:dyDescent="0.25">
      <c r="A397" t="s">
        <v>1227</v>
      </c>
      <c r="B397" t="s">
        <v>2289</v>
      </c>
      <c r="C397" t="s">
        <v>2290</v>
      </c>
      <c r="D397">
        <v>0</v>
      </c>
      <c r="E397">
        <v>1052925.28</v>
      </c>
      <c r="F397">
        <v>0</v>
      </c>
      <c r="G397">
        <v>1052925.28</v>
      </c>
      <c r="H397" s="1">
        <v>1052925.28</v>
      </c>
      <c r="I397">
        <v>1052.9252799999999</v>
      </c>
      <c r="J397" s="52" t="e">
        <f>INDEX('Plano de Contas'!#REF!,MATCH(tbDez16[[#This Row],[Conta]],'Plano de Contas'!#REF!,0))</f>
        <v>#REF!</v>
      </c>
      <c r="K397" s="52" t="e">
        <f>INDEX('Plano de Contas'!#REF!,MATCH(tbDez16[[#This Row],[Conta]],'Plano de Contas'!#REF!,0))</f>
        <v>#REF!</v>
      </c>
      <c r="L397" t="e">
        <f>INDEX('Plano de Contas'!#REF!,MATCH(tbDez16[[#This Row],[Conta]],'Plano de Contas'!#REF!,0))</f>
        <v>#REF!</v>
      </c>
    </row>
    <row r="398" spans="1:12" x14ac:dyDescent="0.25">
      <c r="A398" t="s">
        <v>916</v>
      </c>
      <c r="B398" t="s">
        <v>2291</v>
      </c>
      <c r="C398" t="s">
        <v>2292</v>
      </c>
      <c r="D398">
        <v>777313</v>
      </c>
      <c r="E398">
        <v>74100</v>
      </c>
      <c r="F398">
        <v>0</v>
      </c>
      <c r="G398">
        <v>74100</v>
      </c>
      <c r="H398" s="1">
        <v>851413</v>
      </c>
      <c r="I398">
        <v>851.41300000000001</v>
      </c>
      <c r="J398" s="52" t="e">
        <f>INDEX('Plano de Contas'!#REF!,MATCH(tbDez16[[#This Row],[Conta]],'Plano de Contas'!#REF!,0))</f>
        <v>#REF!</v>
      </c>
      <c r="K398" s="52" t="e">
        <f>INDEX('Plano de Contas'!#REF!,MATCH(tbDez16[[#This Row],[Conta]],'Plano de Contas'!#REF!,0))</f>
        <v>#REF!</v>
      </c>
      <c r="L398" t="e">
        <f>INDEX('Plano de Contas'!#REF!,MATCH(tbDez16[[#This Row],[Conta]],'Plano de Contas'!#REF!,0))</f>
        <v>#REF!</v>
      </c>
    </row>
    <row r="399" spans="1:12" x14ac:dyDescent="0.25">
      <c r="A399" t="s">
        <v>1072</v>
      </c>
      <c r="B399" t="s">
        <v>2293</v>
      </c>
      <c r="C399" t="s">
        <v>2294</v>
      </c>
      <c r="D399">
        <v>0</v>
      </c>
      <c r="E399">
        <v>634494.28</v>
      </c>
      <c r="F399">
        <v>0</v>
      </c>
      <c r="G399">
        <v>634494.28</v>
      </c>
      <c r="H399" s="1">
        <v>634494.28</v>
      </c>
      <c r="I399">
        <v>634.49428</v>
      </c>
      <c r="J399" s="52" t="e">
        <f>INDEX('Plano de Contas'!#REF!,MATCH(tbDez16[[#This Row],[Conta]],'Plano de Contas'!#REF!,0))</f>
        <v>#REF!</v>
      </c>
      <c r="K399" s="52" t="e">
        <f>INDEX('Plano de Contas'!#REF!,MATCH(tbDez16[[#This Row],[Conta]],'Plano de Contas'!#REF!,0))</f>
        <v>#REF!</v>
      </c>
      <c r="L399" t="e">
        <f>INDEX('Plano de Contas'!#REF!,MATCH(tbDez16[[#This Row],[Conta]],'Plano de Contas'!#REF!,0))</f>
        <v>#REF!</v>
      </c>
    </row>
    <row r="400" spans="1:12" x14ac:dyDescent="0.25">
      <c r="A400" t="s">
        <v>1229</v>
      </c>
      <c r="B400" t="s">
        <v>2295</v>
      </c>
      <c r="C400" t="s">
        <v>2296</v>
      </c>
      <c r="D400">
        <v>8768540.2100000009</v>
      </c>
      <c r="E400">
        <v>797140.02</v>
      </c>
      <c r="F400">
        <v>0</v>
      </c>
      <c r="G400">
        <v>797140.02</v>
      </c>
      <c r="H400" s="1">
        <v>9565680.2300000004</v>
      </c>
      <c r="I400">
        <v>9565.6802299999999</v>
      </c>
      <c r="J400" s="52" t="e">
        <f>INDEX('Plano de Contas'!#REF!,MATCH(tbDez16[[#This Row],[Conta]],'Plano de Contas'!#REF!,0))</f>
        <v>#REF!</v>
      </c>
      <c r="K400" s="52" t="e">
        <f>INDEX('Plano de Contas'!#REF!,MATCH(tbDez16[[#This Row],[Conta]],'Plano de Contas'!#REF!,0))</f>
        <v>#REF!</v>
      </c>
      <c r="L400" t="e">
        <f>INDEX('Plano de Contas'!#REF!,MATCH(tbDez16[[#This Row],[Conta]],'Plano de Contas'!#REF!,0))</f>
        <v>#REF!</v>
      </c>
    </row>
    <row r="401" spans="1:12" x14ac:dyDescent="0.25">
      <c r="A401" t="s">
        <v>918</v>
      </c>
      <c r="B401" t="s">
        <v>2297</v>
      </c>
      <c r="C401" t="s">
        <v>2298</v>
      </c>
      <c r="D401">
        <v>-211615.99</v>
      </c>
      <c r="E401">
        <v>0</v>
      </c>
      <c r="F401">
        <v>22517.14</v>
      </c>
      <c r="G401">
        <v>-22517.14</v>
      </c>
      <c r="H401" s="1">
        <v>-234133.13</v>
      </c>
      <c r="I401">
        <v>-234.13312999999999</v>
      </c>
      <c r="J401" s="52" t="e">
        <f>INDEX('Plano de Contas'!#REF!,MATCH(tbDez16[[#This Row],[Conta]],'Plano de Contas'!#REF!,0))</f>
        <v>#REF!</v>
      </c>
      <c r="K401" s="52" t="e">
        <f>INDEX('Plano de Contas'!#REF!,MATCH(tbDez16[[#This Row],[Conta]],'Plano de Contas'!#REF!,0))</f>
        <v>#REF!</v>
      </c>
      <c r="L401" t="e">
        <f>INDEX('Plano de Contas'!#REF!,MATCH(tbDez16[[#This Row],[Conta]],'Plano de Contas'!#REF!,0))</f>
        <v>#REF!</v>
      </c>
    </row>
    <row r="402" spans="1:12" x14ac:dyDescent="0.25">
      <c r="A402" t="s">
        <v>920</v>
      </c>
      <c r="B402" t="s">
        <v>2299</v>
      </c>
      <c r="C402" t="s">
        <v>2300</v>
      </c>
      <c r="D402">
        <v>7286925.2199999997</v>
      </c>
      <c r="E402">
        <v>1767524.35</v>
      </c>
      <c r="F402">
        <v>629022.21</v>
      </c>
      <c r="G402">
        <v>1138502.1400000001</v>
      </c>
      <c r="H402" s="1">
        <v>8425427.3599999994</v>
      </c>
      <c r="I402">
        <v>8425.4273599999997</v>
      </c>
      <c r="J402" s="52" t="e">
        <f>INDEX('Plano de Contas'!#REF!,MATCH(tbDez16[[#This Row],[Conta]],'Plano de Contas'!#REF!,0))</f>
        <v>#REF!</v>
      </c>
      <c r="K402" s="52" t="e">
        <f>INDEX('Plano de Contas'!#REF!,MATCH(tbDez16[[#This Row],[Conta]],'Plano de Contas'!#REF!,0))</f>
        <v>#REF!</v>
      </c>
      <c r="L402" t="e">
        <f>INDEX('Plano de Contas'!#REF!,MATCH(tbDez16[[#This Row],[Conta]],'Plano de Contas'!#REF!,0))</f>
        <v>#REF!</v>
      </c>
    </row>
    <row r="403" spans="1:12" x14ac:dyDescent="0.25">
      <c r="A403" t="s">
        <v>1076</v>
      </c>
      <c r="B403" t="s">
        <v>2301</v>
      </c>
      <c r="C403" t="s">
        <v>2302</v>
      </c>
      <c r="D403">
        <v>5216143.1100000003</v>
      </c>
      <c r="E403">
        <v>1206630.81</v>
      </c>
      <c r="F403">
        <v>462516.33</v>
      </c>
      <c r="G403">
        <v>744114.48</v>
      </c>
      <c r="H403" s="1">
        <v>5960257.5899999999</v>
      </c>
      <c r="I403">
        <v>5960.2575900000002</v>
      </c>
      <c r="J403" s="52" t="e">
        <f>INDEX('Plano de Contas'!#REF!,MATCH(tbDez16[[#This Row],[Conta]],'Plano de Contas'!#REF!,0))</f>
        <v>#REF!</v>
      </c>
      <c r="K403" s="52" t="e">
        <f>INDEX('Plano de Contas'!#REF!,MATCH(tbDez16[[#This Row],[Conta]],'Plano de Contas'!#REF!,0))</f>
        <v>#REF!</v>
      </c>
      <c r="L403" t="e">
        <f>INDEX('Plano de Contas'!#REF!,MATCH(tbDez16[[#This Row],[Conta]],'Plano de Contas'!#REF!,0))</f>
        <v>#REF!</v>
      </c>
    </row>
    <row r="404" spans="1:12" x14ac:dyDescent="0.25">
      <c r="A404" t="s">
        <v>1078</v>
      </c>
      <c r="B404" t="s">
        <v>2303</v>
      </c>
      <c r="C404" t="s">
        <v>2304</v>
      </c>
      <c r="D404">
        <v>1885731.55</v>
      </c>
      <c r="E404">
        <v>435107.09</v>
      </c>
      <c r="F404">
        <v>166505.88</v>
      </c>
      <c r="G404">
        <v>268601.21000000002</v>
      </c>
      <c r="H404" s="1">
        <v>2154332.7599999998</v>
      </c>
      <c r="I404">
        <v>2154.3327599999998</v>
      </c>
      <c r="J404" s="52" t="e">
        <f>INDEX('Plano de Contas'!#REF!,MATCH(tbDez16[[#This Row],[Conta]],'Plano de Contas'!#REF!,0))</f>
        <v>#REF!</v>
      </c>
      <c r="K404" s="52" t="e">
        <f>INDEX('Plano de Contas'!#REF!,MATCH(tbDez16[[#This Row],[Conta]],'Plano de Contas'!#REF!,0))</f>
        <v>#REF!</v>
      </c>
      <c r="L404" t="e">
        <f>INDEX('Plano de Contas'!#REF!,MATCH(tbDez16[[#This Row],[Conta]],'Plano de Contas'!#REF!,0))</f>
        <v>#REF!</v>
      </c>
    </row>
    <row r="405" spans="1:12" x14ac:dyDescent="0.25">
      <c r="A405" t="s">
        <v>924</v>
      </c>
      <c r="B405" t="s">
        <v>2305</v>
      </c>
      <c r="C405" t="s">
        <v>2306</v>
      </c>
      <c r="D405">
        <v>18390.41</v>
      </c>
      <c r="E405">
        <v>4959.62</v>
      </c>
      <c r="F405">
        <v>0</v>
      </c>
      <c r="G405">
        <v>4959.62</v>
      </c>
      <c r="H405" s="1">
        <v>23350.03</v>
      </c>
      <c r="I405">
        <v>23.35003</v>
      </c>
      <c r="J405" s="52" t="e">
        <f>INDEX('Plano de Contas'!#REF!,MATCH(tbDez16[[#This Row],[Conta]],'Plano de Contas'!#REF!,0))</f>
        <v>#REF!</v>
      </c>
      <c r="K405" s="52" t="e">
        <f>INDEX('Plano de Contas'!#REF!,MATCH(tbDez16[[#This Row],[Conta]],'Plano de Contas'!#REF!,0))</f>
        <v>#REF!</v>
      </c>
      <c r="L405" t="e">
        <f>INDEX('Plano de Contas'!#REF!,MATCH(tbDez16[[#This Row],[Conta]],'Plano de Contas'!#REF!,0))</f>
        <v>#REF!</v>
      </c>
    </row>
    <row r="406" spans="1:12" x14ac:dyDescent="0.25">
      <c r="A406" t="s">
        <v>928</v>
      </c>
      <c r="B406" t="s">
        <v>2307</v>
      </c>
      <c r="C406" t="s">
        <v>2308</v>
      </c>
      <c r="D406">
        <v>23328.41</v>
      </c>
      <c r="E406">
        <v>16889.77</v>
      </c>
      <c r="F406">
        <v>0</v>
      </c>
      <c r="G406">
        <v>16889.77</v>
      </c>
      <c r="H406" s="1">
        <v>40218.18</v>
      </c>
      <c r="I406">
        <v>40.218180000000004</v>
      </c>
      <c r="J406" s="52" t="e">
        <f>INDEX('Plano de Contas'!#REF!,MATCH(tbDez16[[#This Row],[Conta]],'Plano de Contas'!#REF!,0))</f>
        <v>#REF!</v>
      </c>
      <c r="K406" s="52" t="e">
        <f>INDEX('Plano de Contas'!#REF!,MATCH(tbDez16[[#This Row],[Conta]],'Plano de Contas'!#REF!,0))</f>
        <v>#REF!</v>
      </c>
      <c r="L406" t="e">
        <f>INDEX('Plano de Contas'!#REF!,MATCH(tbDez16[[#This Row],[Conta]],'Plano de Contas'!#REF!,0))</f>
        <v>#REF!</v>
      </c>
    </row>
    <row r="407" spans="1:12" x14ac:dyDescent="0.25">
      <c r="A407" t="s">
        <v>930</v>
      </c>
      <c r="B407" t="s">
        <v>2309</v>
      </c>
      <c r="C407" t="s">
        <v>1967</v>
      </c>
      <c r="D407">
        <v>143331.74</v>
      </c>
      <c r="E407">
        <v>103937.06</v>
      </c>
      <c r="F407">
        <v>0</v>
      </c>
      <c r="G407">
        <v>103937.06</v>
      </c>
      <c r="H407" s="1">
        <v>247268.8</v>
      </c>
      <c r="I407">
        <v>247.2688</v>
      </c>
      <c r="J407" s="52" t="e">
        <f>INDEX('Plano de Contas'!#REF!,MATCH(tbDez16[[#This Row],[Conta]],'Plano de Contas'!#REF!,0))</f>
        <v>#REF!</v>
      </c>
      <c r="K407" s="52" t="e">
        <f>INDEX('Plano de Contas'!#REF!,MATCH(tbDez16[[#This Row],[Conta]],'Plano de Contas'!#REF!,0))</f>
        <v>#REF!</v>
      </c>
      <c r="L407" t="e">
        <f>INDEX('Plano de Contas'!#REF!,MATCH(tbDez16[[#This Row],[Conta]],'Plano de Contas'!#REF!,0))</f>
        <v>#REF!</v>
      </c>
    </row>
    <row r="408" spans="1:12" x14ac:dyDescent="0.25">
      <c r="A408" t="s">
        <v>1231</v>
      </c>
      <c r="B408" t="s">
        <v>2310</v>
      </c>
      <c r="C408" t="s">
        <v>2311</v>
      </c>
      <c r="D408">
        <v>0</v>
      </c>
      <c r="E408">
        <v>0</v>
      </c>
      <c r="F408">
        <v>505649.71</v>
      </c>
      <c r="G408">
        <v>-505649.71</v>
      </c>
      <c r="H408" s="1">
        <v>-505649.71</v>
      </c>
      <c r="I408">
        <v>-505.64971000000003</v>
      </c>
      <c r="J408" s="52" t="e">
        <f>INDEX('Plano de Contas'!#REF!,MATCH(tbDez16[[#This Row],[Conta]],'Plano de Contas'!#REF!,0))</f>
        <v>#REF!</v>
      </c>
      <c r="K408" s="52" t="e">
        <f>INDEX('Plano de Contas'!#REF!,MATCH(tbDez16[[#This Row],[Conta]],'Plano de Contas'!#REF!,0))</f>
        <v>#REF!</v>
      </c>
      <c r="L408" t="e">
        <f>INDEX('Plano de Contas'!#REF!,MATCH(tbDez16[[#This Row],[Conta]],'Plano de Contas'!#REF!,0))</f>
        <v>#REF!</v>
      </c>
    </row>
    <row r="409" spans="1:12" x14ac:dyDescent="0.25">
      <c r="A409" t="s">
        <v>1235</v>
      </c>
      <c r="B409" t="s">
        <v>2312</v>
      </c>
      <c r="C409" t="s">
        <v>2313</v>
      </c>
      <c r="D409">
        <v>0</v>
      </c>
      <c r="E409">
        <v>0</v>
      </c>
      <c r="F409">
        <v>505649.71</v>
      </c>
      <c r="G409">
        <v>-505649.71</v>
      </c>
      <c r="H409" s="1">
        <v>-505649.71</v>
      </c>
      <c r="I409">
        <v>-505.64971000000003</v>
      </c>
      <c r="J409" s="52" t="e">
        <f>INDEX('Plano de Contas'!#REF!,MATCH(tbDez16[[#This Row],[Conta]],'Plano de Contas'!#REF!,0))</f>
        <v>#REF!</v>
      </c>
      <c r="K409" s="52" t="e">
        <f>INDEX('Plano de Contas'!#REF!,MATCH(tbDez16[[#This Row],[Conta]],'Plano de Contas'!#REF!,0))</f>
        <v>#REF!</v>
      </c>
      <c r="L409" t="e">
        <f>INDEX('Plano de Contas'!#REF!,MATCH(tbDez16[[#This Row],[Conta]],'Plano de Contas'!#REF!,0))</f>
        <v>#REF!</v>
      </c>
    </row>
    <row r="410" spans="1:12" x14ac:dyDescent="0.25">
      <c r="A410" t="s">
        <v>931</v>
      </c>
      <c r="B410" t="s">
        <v>2314</v>
      </c>
      <c r="C410" t="s">
        <v>2315</v>
      </c>
      <c r="D410">
        <v>-9000</v>
      </c>
      <c r="E410">
        <v>0</v>
      </c>
      <c r="F410">
        <v>0</v>
      </c>
      <c r="G410">
        <v>0</v>
      </c>
      <c r="H410" s="1">
        <v>-9000</v>
      </c>
      <c r="I410">
        <v>-9</v>
      </c>
      <c r="J410" s="52" t="e">
        <f>INDEX('Plano de Contas'!#REF!,MATCH(tbDez16[[#This Row],[Conta]],'Plano de Contas'!#REF!,0))</f>
        <v>#REF!</v>
      </c>
      <c r="K410" s="52" t="e">
        <f>INDEX('Plano de Contas'!#REF!,MATCH(tbDez16[[#This Row],[Conta]],'Plano de Contas'!#REF!,0))</f>
        <v>#REF!</v>
      </c>
      <c r="L410" t="e">
        <f>INDEX('Plano de Contas'!#REF!,MATCH(tbDez16[[#This Row],[Conta]],'Plano de Contas'!#REF!,0))</f>
        <v>#REF!</v>
      </c>
    </row>
    <row r="411" spans="1:12" x14ac:dyDescent="0.25">
      <c r="A411" t="s">
        <v>935</v>
      </c>
      <c r="B411" t="s">
        <v>2316</v>
      </c>
      <c r="C411" t="s">
        <v>2317</v>
      </c>
      <c r="D411">
        <v>-9000</v>
      </c>
      <c r="E411">
        <v>0</v>
      </c>
      <c r="F411">
        <v>0</v>
      </c>
      <c r="G411">
        <v>0</v>
      </c>
      <c r="H411" s="1">
        <v>-9000</v>
      </c>
      <c r="I411">
        <v>-9</v>
      </c>
      <c r="J411" s="52" t="e">
        <f>INDEX('Plano de Contas'!#REF!,MATCH(tbDez16[[#This Row],[Conta]],'Plano de Contas'!#REF!,0))</f>
        <v>#REF!</v>
      </c>
      <c r="K411" s="52" t="e">
        <f>INDEX('Plano de Contas'!#REF!,MATCH(tbDez16[[#This Row],[Conta]],'Plano de Contas'!#REF!,0))</f>
        <v>#REF!</v>
      </c>
      <c r="L411" t="e">
        <f>INDEX('Plano de Contas'!#REF!,MATCH(tbDez16[[#This Row],[Conta]],'Plano de Contas'!#REF!,0))</f>
        <v>#REF!</v>
      </c>
    </row>
    <row r="412" spans="1:12" x14ac:dyDescent="0.25">
      <c r="A412" t="s">
        <v>1237</v>
      </c>
      <c r="B412" t="s">
        <v>2318</v>
      </c>
      <c r="C412" t="s">
        <v>2319</v>
      </c>
      <c r="D412">
        <v>0</v>
      </c>
      <c r="E412">
        <v>38750</v>
      </c>
      <c r="F412">
        <v>38750</v>
      </c>
      <c r="G412">
        <v>0</v>
      </c>
      <c r="H412" s="1">
        <v>0</v>
      </c>
      <c r="I412">
        <v>0</v>
      </c>
      <c r="J412" s="52" t="e">
        <f>INDEX('Plano de Contas'!#REF!,MATCH(tbDez16[[#This Row],[Conta]],'Plano de Contas'!#REF!,0))</f>
        <v>#REF!</v>
      </c>
      <c r="K412" s="52" t="e">
        <f>INDEX('Plano de Contas'!#REF!,MATCH(tbDez16[[#This Row],[Conta]],'Plano de Contas'!#REF!,0))</f>
        <v>#REF!</v>
      </c>
      <c r="L412" t="e">
        <f>INDEX('Plano de Contas'!#REF!,MATCH(tbDez16[[#This Row],[Conta]],'Plano de Contas'!#REF!,0))</f>
        <v>#REF!</v>
      </c>
    </row>
    <row r="413" spans="1:12" x14ac:dyDescent="0.25">
      <c r="A413" t="s">
        <v>1239</v>
      </c>
      <c r="B413" t="s">
        <v>2320</v>
      </c>
      <c r="C413" t="s">
        <v>2321</v>
      </c>
      <c r="D413">
        <v>-437000</v>
      </c>
      <c r="E413">
        <v>0</v>
      </c>
      <c r="F413">
        <v>38750</v>
      </c>
      <c r="G413">
        <v>-38750</v>
      </c>
      <c r="H413" s="1">
        <v>-475750</v>
      </c>
      <c r="I413">
        <v>-475.75</v>
      </c>
      <c r="J413" s="52" t="e">
        <f>INDEX('Plano de Contas'!#REF!,MATCH(tbDez16[[#This Row],[Conta]],'Plano de Contas'!#REF!,0))</f>
        <v>#REF!</v>
      </c>
      <c r="K413" s="52" t="e">
        <f>INDEX('Plano de Contas'!#REF!,MATCH(tbDez16[[#This Row],[Conta]],'Plano de Contas'!#REF!,0))</f>
        <v>#REF!</v>
      </c>
      <c r="L413" t="e">
        <f>INDEX('Plano de Contas'!#REF!,MATCH(tbDez16[[#This Row],[Conta]],'Plano de Contas'!#REF!,0))</f>
        <v>#REF!</v>
      </c>
    </row>
    <row r="414" spans="1:12" x14ac:dyDescent="0.25">
      <c r="A414" t="s">
        <v>1241</v>
      </c>
      <c r="B414" t="s">
        <v>2322</v>
      </c>
      <c r="C414" t="s">
        <v>2323</v>
      </c>
      <c r="D414">
        <v>437000</v>
      </c>
      <c r="E414">
        <v>38750</v>
      </c>
      <c r="F414">
        <v>0</v>
      </c>
      <c r="G414">
        <v>38750</v>
      </c>
      <c r="H414" s="1">
        <v>475750</v>
      </c>
      <c r="I414">
        <v>475.75</v>
      </c>
      <c r="J414" s="52" t="e">
        <f>INDEX('Plano de Contas'!#REF!,MATCH(tbDez16[[#This Row],[Conta]],'Plano de Contas'!#REF!,0))</f>
        <v>#REF!</v>
      </c>
      <c r="K414" s="52" t="e">
        <f>INDEX('Plano de Contas'!#REF!,MATCH(tbDez16[[#This Row],[Conta]],'Plano de Contas'!#REF!,0))</f>
        <v>#REF!</v>
      </c>
      <c r="L414" t="e">
        <f>INDEX('Plano de Contas'!#REF!,MATCH(tbDez16[[#This Row],[Conta]],'Plano de Contas'!#REF!,0))</f>
        <v>#REF!</v>
      </c>
    </row>
    <row r="415" spans="1:12" x14ac:dyDescent="0.25">
      <c r="A415" t="s">
        <v>937</v>
      </c>
      <c r="B415" t="s">
        <v>2324</v>
      </c>
      <c r="C415" t="s">
        <v>2325</v>
      </c>
      <c r="D415">
        <v>15189504.609999999</v>
      </c>
      <c r="E415">
        <v>7569.69</v>
      </c>
      <c r="F415">
        <v>3685233.27</v>
      </c>
      <c r="G415">
        <v>-3677663.58</v>
      </c>
      <c r="H415" s="1">
        <v>11511841.029999999</v>
      </c>
      <c r="I415">
        <v>11511.84103</v>
      </c>
      <c r="J415" s="52" t="e">
        <f>INDEX('Plano de Contas'!#REF!,MATCH(tbDez16[[#This Row],[Conta]],'Plano de Contas'!#REF!,0))</f>
        <v>#REF!</v>
      </c>
      <c r="K415" s="52" t="e">
        <f>INDEX('Plano de Contas'!#REF!,MATCH(tbDez16[[#This Row],[Conta]],'Plano de Contas'!#REF!,0))</f>
        <v>#REF!</v>
      </c>
      <c r="L415" t="e">
        <f>INDEX('Plano de Contas'!#REF!,MATCH(tbDez16[[#This Row],[Conta]],'Plano de Contas'!#REF!,0))</f>
        <v>#REF!</v>
      </c>
    </row>
    <row r="416" spans="1:12" x14ac:dyDescent="0.25">
      <c r="A416" t="s">
        <v>939</v>
      </c>
      <c r="B416" t="s">
        <v>2326</v>
      </c>
      <c r="C416" t="s">
        <v>2327</v>
      </c>
      <c r="D416">
        <v>-3353749.74</v>
      </c>
      <c r="E416">
        <v>2123.2600000000002</v>
      </c>
      <c r="F416">
        <v>3684327.37</v>
      </c>
      <c r="G416">
        <v>-3682204.1100000003</v>
      </c>
      <c r="H416" s="1">
        <v>-7035953.8499999996</v>
      </c>
      <c r="I416">
        <v>-7035.9538499999999</v>
      </c>
      <c r="J416" s="52" t="e">
        <f>INDEX('Plano de Contas'!#REF!,MATCH(tbDez16[[#This Row],[Conta]],'Plano de Contas'!#REF!,0))</f>
        <v>#REF!</v>
      </c>
      <c r="K416" s="52" t="e">
        <f>INDEX('Plano de Contas'!#REF!,MATCH(tbDez16[[#This Row],[Conta]],'Plano de Contas'!#REF!,0))</f>
        <v>#REF!</v>
      </c>
      <c r="L416" t="e">
        <f>INDEX('Plano de Contas'!#REF!,MATCH(tbDez16[[#This Row],[Conta]],'Plano de Contas'!#REF!,0))</f>
        <v>#REF!</v>
      </c>
    </row>
    <row r="417" spans="1:12" x14ac:dyDescent="0.25">
      <c r="A417" t="s">
        <v>941</v>
      </c>
      <c r="B417" t="s">
        <v>2328</v>
      </c>
      <c r="C417" t="s">
        <v>2329</v>
      </c>
      <c r="D417">
        <v>-3353749.74</v>
      </c>
      <c r="E417">
        <v>2123.2600000000002</v>
      </c>
      <c r="F417">
        <v>3684327.37</v>
      </c>
      <c r="G417">
        <v>-3682204.1100000003</v>
      </c>
      <c r="H417" s="1">
        <v>-7035953.8499999996</v>
      </c>
      <c r="I417">
        <v>-7035.9538499999999</v>
      </c>
      <c r="J417" s="52" t="e">
        <f>INDEX('Plano de Contas'!#REF!,MATCH(tbDez16[[#This Row],[Conta]],'Plano de Contas'!#REF!,0))</f>
        <v>#REF!</v>
      </c>
      <c r="K417" s="52" t="e">
        <f>INDEX('Plano de Contas'!#REF!,MATCH(tbDez16[[#This Row],[Conta]],'Plano de Contas'!#REF!,0))</f>
        <v>#REF!</v>
      </c>
      <c r="L417" t="e">
        <f>INDEX('Plano de Contas'!#REF!,MATCH(tbDez16[[#This Row],[Conta]],'Plano de Contas'!#REF!,0))</f>
        <v>#REF!</v>
      </c>
    </row>
    <row r="418" spans="1:12" x14ac:dyDescent="0.25">
      <c r="A418" t="s">
        <v>943</v>
      </c>
      <c r="B418" t="s">
        <v>2330</v>
      </c>
      <c r="C418" t="s">
        <v>2331</v>
      </c>
      <c r="D418">
        <v>-2616445.83</v>
      </c>
      <c r="E418">
        <v>0</v>
      </c>
      <c r="F418">
        <v>3566233.49</v>
      </c>
      <c r="G418">
        <v>-3566233.49</v>
      </c>
      <c r="H418" s="1">
        <v>-6182679.3200000003</v>
      </c>
      <c r="I418">
        <v>-6182.6793200000002</v>
      </c>
      <c r="J418" s="52" t="e">
        <f>INDEX('Plano de Contas'!#REF!,MATCH(tbDez16[[#This Row],[Conta]],'Plano de Contas'!#REF!,0))</f>
        <v>#REF!</v>
      </c>
      <c r="K418" s="52" t="e">
        <f>INDEX('Plano de Contas'!#REF!,MATCH(tbDez16[[#This Row],[Conta]],'Plano de Contas'!#REF!,0))</f>
        <v>#REF!</v>
      </c>
      <c r="L418" t="e">
        <f>INDEX('Plano de Contas'!#REF!,MATCH(tbDez16[[#This Row],[Conta]],'Plano de Contas'!#REF!,0))</f>
        <v>#REF!</v>
      </c>
    </row>
    <row r="419" spans="1:12" x14ac:dyDescent="0.25">
      <c r="A419" t="s">
        <v>945</v>
      </c>
      <c r="B419" t="s">
        <v>2332</v>
      </c>
      <c r="C419" t="s">
        <v>2333</v>
      </c>
      <c r="D419">
        <v>-0.66</v>
      </c>
      <c r="E419">
        <v>0</v>
      </c>
      <c r="F419">
        <v>0</v>
      </c>
      <c r="G419">
        <v>0</v>
      </c>
      <c r="H419" s="1">
        <v>-0.66</v>
      </c>
      <c r="I419">
        <v>-6.6E-4</v>
      </c>
      <c r="J419" s="52" t="e">
        <f>INDEX('Plano de Contas'!#REF!,MATCH(tbDez16[[#This Row],[Conta]],'Plano de Contas'!#REF!,0))</f>
        <v>#REF!</v>
      </c>
      <c r="K419" s="52" t="e">
        <f>INDEX('Plano de Contas'!#REF!,MATCH(tbDez16[[#This Row],[Conta]],'Plano de Contas'!#REF!,0))</f>
        <v>#REF!</v>
      </c>
      <c r="L419" t="e">
        <f>INDEX('Plano de Contas'!#REF!,MATCH(tbDez16[[#This Row],[Conta]],'Plano de Contas'!#REF!,0))</f>
        <v>#REF!</v>
      </c>
    </row>
    <row r="420" spans="1:12" x14ac:dyDescent="0.25">
      <c r="A420" t="s">
        <v>947</v>
      </c>
      <c r="B420" t="s">
        <v>2334</v>
      </c>
      <c r="C420" t="s">
        <v>2335</v>
      </c>
      <c r="D420">
        <v>-692013.31</v>
      </c>
      <c r="E420">
        <v>2123.2600000000002</v>
      </c>
      <c r="F420">
        <v>117442.58</v>
      </c>
      <c r="G420">
        <v>-115319.32</v>
      </c>
      <c r="H420" s="1">
        <v>-807332.63</v>
      </c>
      <c r="I420">
        <v>-807.33262999999999</v>
      </c>
      <c r="J420" s="52" t="e">
        <f>INDEX('Plano de Contas'!#REF!,MATCH(tbDez16[[#This Row],[Conta]],'Plano de Contas'!#REF!,0))</f>
        <v>#REF!</v>
      </c>
      <c r="K420" s="52" t="e">
        <f>INDEX('Plano de Contas'!#REF!,MATCH(tbDez16[[#This Row],[Conta]],'Plano de Contas'!#REF!,0))</f>
        <v>#REF!</v>
      </c>
      <c r="L420" t="e">
        <f>INDEX('Plano de Contas'!#REF!,MATCH(tbDez16[[#This Row],[Conta]],'Plano de Contas'!#REF!,0))</f>
        <v>#REF!</v>
      </c>
    </row>
    <row r="421" spans="1:12" x14ac:dyDescent="0.25">
      <c r="A421" t="s">
        <v>951</v>
      </c>
      <c r="B421" t="s">
        <v>2336</v>
      </c>
      <c r="C421" t="s">
        <v>2337</v>
      </c>
      <c r="D421">
        <v>-45289.94</v>
      </c>
      <c r="E421">
        <v>0</v>
      </c>
      <c r="F421">
        <v>651.29999999999995</v>
      </c>
      <c r="G421">
        <v>-651.29999999999995</v>
      </c>
      <c r="H421" s="1">
        <v>-45941.24</v>
      </c>
      <c r="I421">
        <v>-45.941240000000001</v>
      </c>
      <c r="J421" s="52" t="e">
        <f>INDEX('Plano de Contas'!#REF!,MATCH(tbDez16[[#This Row],[Conta]],'Plano de Contas'!#REF!,0))</f>
        <v>#REF!</v>
      </c>
      <c r="K421" s="52" t="e">
        <f>INDEX('Plano de Contas'!#REF!,MATCH(tbDez16[[#This Row],[Conta]],'Plano de Contas'!#REF!,0))</f>
        <v>#REF!</v>
      </c>
      <c r="L421" t="e">
        <f>INDEX('Plano de Contas'!#REF!,MATCH(tbDez16[[#This Row],[Conta]],'Plano de Contas'!#REF!,0))</f>
        <v>#REF!</v>
      </c>
    </row>
    <row r="422" spans="1:12" x14ac:dyDescent="0.25">
      <c r="A422" t="s">
        <v>953</v>
      </c>
      <c r="B422" t="s">
        <v>2338</v>
      </c>
      <c r="C422" t="s">
        <v>2339</v>
      </c>
      <c r="D422">
        <v>18543254.350000001</v>
      </c>
      <c r="E422">
        <v>5446.43</v>
      </c>
      <c r="F422">
        <v>905.9</v>
      </c>
      <c r="G422">
        <v>4540.5300000000007</v>
      </c>
      <c r="H422" s="1">
        <v>18547794.879999999</v>
      </c>
      <c r="I422">
        <v>18547.794879999998</v>
      </c>
      <c r="J422" s="52" t="e">
        <f>INDEX('Plano de Contas'!#REF!,MATCH(tbDez16[[#This Row],[Conta]],'Plano de Contas'!#REF!,0))</f>
        <v>#REF!</v>
      </c>
      <c r="K422" s="52" t="e">
        <f>INDEX('Plano de Contas'!#REF!,MATCH(tbDez16[[#This Row],[Conta]],'Plano de Contas'!#REF!,0))</f>
        <v>#REF!</v>
      </c>
      <c r="L422" t="e">
        <f>INDEX('Plano de Contas'!#REF!,MATCH(tbDez16[[#This Row],[Conta]],'Plano de Contas'!#REF!,0))</f>
        <v>#REF!</v>
      </c>
    </row>
    <row r="423" spans="1:12" x14ac:dyDescent="0.25">
      <c r="A423" t="s">
        <v>955</v>
      </c>
      <c r="B423" t="s">
        <v>2340</v>
      </c>
      <c r="C423" t="s">
        <v>2341</v>
      </c>
      <c r="D423">
        <v>18543254.350000001</v>
      </c>
      <c r="E423">
        <v>5446.43</v>
      </c>
      <c r="F423">
        <v>905.9</v>
      </c>
      <c r="G423">
        <v>4540.5300000000007</v>
      </c>
      <c r="H423" s="1">
        <v>18547794.879999999</v>
      </c>
      <c r="I423">
        <v>18547.794879999998</v>
      </c>
      <c r="J423" s="52" t="e">
        <f>INDEX('Plano de Contas'!#REF!,MATCH(tbDez16[[#This Row],[Conta]],'Plano de Contas'!#REF!,0))</f>
        <v>#REF!</v>
      </c>
      <c r="K423" s="52" t="e">
        <f>INDEX('Plano de Contas'!#REF!,MATCH(tbDez16[[#This Row],[Conta]],'Plano de Contas'!#REF!,0))</f>
        <v>#REF!</v>
      </c>
      <c r="L423" t="e">
        <f>INDEX('Plano de Contas'!#REF!,MATCH(tbDez16[[#This Row],[Conta]],'Plano de Contas'!#REF!,0))</f>
        <v>#REF!</v>
      </c>
    </row>
    <row r="424" spans="1:12" x14ac:dyDescent="0.25">
      <c r="A424" t="s">
        <v>957</v>
      </c>
      <c r="B424" t="s">
        <v>2342</v>
      </c>
      <c r="C424" t="s">
        <v>2343</v>
      </c>
      <c r="D424">
        <v>15866.41</v>
      </c>
      <c r="E424">
        <v>2962.22</v>
      </c>
      <c r="F424">
        <v>0</v>
      </c>
      <c r="G424">
        <v>2962.22</v>
      </c>
      <c r="H424" s="1">
        <v>18828.63</v>
      </c>
      <c r="I424">
        <v>18.82863</v>
      </c>
      <c r="J424" s="52" t="e">
        <f>INDEX('Plano de Contas'!#REF!,MATCH(tbDez16[[#This Row],[Conta]],'Plano de Contas'!#REF!,0))</f>
        <v>#REF!</v>
      </c>
      <c r="K424" s="52" t="e">
        <f>INDEX('Plano de Contas'!#REF!,MATCH(tbDez16[[#This Row],[Conta]],'Plano de Contas'!#REF!,0))</f>
        <v>#REF!</v>
      </c>
      <c r="L424" t="e">
        <f>INDEX('Plano de Contas'!#REF!,MATCH(tbDez16[[#This Row],[Conta]],'Plano de Contas'!#REF!,0))</f>
        <v>#REF!</v>
      </c>
    </row>
    <row r="425" spans="1:12" x14ac:dyDescent="0.25">
      <c r="A425" t="s">
        <v>959</v>
      </c>
      <c r="B425" t="s">
        <v>2344</v>
      </c>
      <c r="C425" t="s">
        <v>2345</v>
      </c>
      <c r="D425">
        <v>18354253.879999999</v>
      </c>
      <c r="E425">
        <v>0</v>
      </c>
      <c r="F425">
        <v>0</v>
      </c>
      <c r="G425">
        <v>0</v>
      </c>
      <c r="H425" s="1">
        <v>18354253.879999999</v>
      </c>
      <c r="I425">
        <v>18354.25388</v>
      </c>
      <c r="J425" s="52" t="e">
        <f>INDEX('Plano de Contas'!#REF!,MATCH(tbDez16[[#This Row],[Conta]],'Plano de Contas'!#REF!,0))</f>
        <v>#REF!</v>
      </c>
      <c r="K425" s="52" t="e">
        <f>INDEX('Plano de Contas'!#REF!,MATCH(tbDez16[[#This Row],[Conta]],'Plano de Contas'!#REF!,0))</f>
        <v>#REF!</v>
      </c>
      <c r="L425" t="e">
        <f>INDEX('Plano de Contas'!#REF!,MATCH(tbDez16[[#This Row],[Conta]],'Plano de Contas'!#REF!,0))</f>
        <v>#REF!</v>
      </c>
    </row>
    <row r="426" spans="1:12" x14ac:dyDescent="0.25">
      <c r="A426" t="s">
        <v>961</v>
      </c>
      <c r="B426" t="s">
        <v>2346</v>
      </c>
      <c r="C426" t="s">
        <v>2347</v>
      </c>
      <c r="D426">
        <v>173134.06</v>
      </c>
      <c r="E426">
        <v>2484.21</v>
      </c>
      <c r="F426">
        <v>905.9</v>
      </c>
      <c r="G426">
        <v>1578.31</v>
      </c>
      <c r="H426" s="1">
        <v>174712.37</v>
      </c>
      <c r="I426">
        <v>174.71236999999999</v>
      </c>
      <c r="J426" s="52" t="e">
        <f>INDEX('Plano de Contas'!#REF!,MATCH(tbDez16[[#This Row],[Conta]],'Plano de Contas'!#REF!,0))</f>
        <v>#REF!</v>
      </c>
      <c r="K426" s="52" t="e">
        <f>INDEX('Plano de Contas'!#REF!,MATCH(tbDez16[[#This Row],[Conta]],'Plano de Contas'!#REF!,0))</f>
        <v>#REF!</v>
      </c>
      <c r="L426" t="e">
        <f>INDEX('Plano de Contas'!#REF!,MATCH(tbDez16[[#This Row],[Conta]],'Plano de Contas'!#REF!,0))</f>
        <v>#REF!</v>
      </c>
    </row>
    <row r="427" spans="1:12" x14ac:dyDescent="0.25">
      <c r="A427" t="s">
        <v>1478</v>
      </c>
      <c r="B427" t="s">
        <v>2348</v>
      </c>
      <c r="C427" t="s">
        <v>2349</v>
      </c>
      <c r="D427">
        <v>325942.09999999998</v>
      </c>
      <c r="E427">
        <v>0</v>
      </c>
      <c r="F427">
        <v>0</v>
      </c>
      <c r="G427">
        <v>0</v>
      </c>
      <c r="H427" s="1">
        <v>325942.09999999998</v>
      </c>
      <c r="I427">
        <v>325.94209999999998</v>
      </c>
      <c r="J427" s="52" t="e">
        <f>INDEX('Plano de Contas'!#REF!,MATCH(tbDez16[[#This Row],[Conta]],'Plano de Contas'!#REF!,0))</f>
        <v>#REF!</v>
      </c>
      <c r="K427" s="52" t="e">
        <f>INDEX('Plano de Contas'!#REF!,MATCH(tbDez16[[#This Row],[Conta]],'Plano de Contas'!#REF!,0))</f>
        <v>#REF!</v>
      </c>
      <c r="L427" t="e">
        <f>INDEX('Plano de Contas'!#REF!,MATCH(tbDez16[[#This Row],[Conta]],'Plano de Contas'!#REF!,0))</f>
        <v>#REF!</v>
      </c>
    </row>
    <row r="428" spans="1:12" x14ac:dyDescent="0.25">
      <c r="A428" t="s">
        <v>964</v>
      </c>
      <c r="B428" t="s">
        <v>2350</v>
      </c>
      <c r="C428" t="s">
        <v>2351</v>
      </c>
      <c r="D428">
        <v>325942.09999999998</v>
      </c>
      <c r="E428">
        <v>0</v>
      </c>
      <c r="F428">
        <v>0</v>
      </c>
      <c r="G428">
        <v>0</v>
      </c>
      <c r="H428" s="1">
        <v>325942.09999999998</v>
      </c>
      <c r="I428">
        <v>325.94209999999998</v>
      </c>
      <c r="J428" s="52" t="e">
        <f>INDEX('Plano de Contas'!#REF!,MATCH(tbDez16[[#This Row],[Conta]],'Plano de Contas'!#REF!,0))</f>
        <v>#REF!</v>
      </c>
      <c r="K428" s="52" t="e">
        <f>INDEX('Plano de Contas'!#REF!,MATCH(tbDez16[[#This Row],[Conta]],'Plano de Contas'!#REF!,0))</f>
        <v>#REF!</v>
      </c>
      <c r="L428" t="e">
        <f>INDEX('Plano de Contas'!#REF!,MATCH(tbDez16[[#This Row],[Conta]],'Plano de Contas'!#REF!,0))</f>
        <v>#REF!</v>
      </c>
    </row>
    <row r="429" spans="1:12" x14ac:dyDescent="0.25">
      <c r="A429" t="s">
        <v>966</v>
      </c>
      <c r="B429" t="s">
        <v>2352</v>
      </c>
      <c r="C429" t="s">
        <v>2353</v>
      </c>
      <c r="D429">
        <v>325942.09999999998</v>
      </c>
      <c r="E429">
        <v>0</v>
      </c>
      <c r="F429">
        <v>0</v>
      </c>
      <c r="G429">
        <v>0</v>
      </c>
      <c r="H429" s="1">
        <v>325942.09999999998</v>
      </c>
      <c r="I429">
        <v>325.94209999999998</v>
      </c>
      <c r="J429" s="52" t="e">
        <f>INDEX('Plano de Contas'!#REF!,MATCH(tbDez16[[#This Row],[Conta]],'Plano de Contas'!#REF!,0))</f>
        <v>#REF!</v>
      </c>
      <c r="K429" s="52" t="e">
        <f>INDEX('Plano de Contas'!#REF!,MATCH(tbDez16[[#This Row],[Conta]],'Plano de Contas'!#REF!,0))</f>
        <v>#REF!</v>
      </c>
      <c r="L429" t="e">
        <f>INDEX('Plano de Contas'!#REF!,MATCH(tbDez16[[#This Row],[Conta]],'Plano de Contas'!#REF!,0))</f>
        <v>#REF!</v>
      </c>
    </row>
    <row r="430" spans="1:12" x14ac:dyDescent="0.25">
      <c r="A430" t="s">
        <v>968</v>
      </c>
      <c r="B430" t="s">
        <v>2354</v>
      </c>
      <c r="C430" t="s">
        <v>2355</v>
      </c>
      <c r="D430">
        <v>325942.09999999998</v>
      </c>
      <c r="E430">
        <v>0</v>
      </c>
      <c r="F430">
        <v>0</v>
      </c>
      <c r="G430">
        <v>0</v>
      </c>
      <c r="H430" s="1">
        <v>325942.09999999998</v>
      </c>
      <c r="I430">
        <v>325.94209999999998</v>
      </c>
      <c r="J430" s="52" t="e">
        <f>INDEX('Plano de Contas'!#REF!,MATCH(tbDez16[[#This Row],[Conta]],'Plano de Contas'!#REF!,0))</f>
        <v>#REF!</v>
      </c>
      <c r="K430" s="52" t="e">
        <f>INDEX('Plano de Contas'!#REF!,MATCH(tbDez16[[#This Row],[Conta]],'Plano de Contas'!#REF!,0))</f>
        <v>#REF!</v>
      </c>
      <c r="L430" t="e">
        <f>INDEX('Plano de Contas'!#REF!,MATCH(tbDez16[[#This Row],[Conta]],'Plano de Contas'!#REF!,0))</f>
        <v>#REF!</v>
      </c>
    </row>
    <row r="431" spans="1:12" x14ac:dyDescent="0.25">
      <c r="A431" t="s">
        <v>970</v>
      </c>
      <c r="B431" t="s">
        <v>2356</v>
      </c>
      <c r="C431" t="s">
        <v>2357</v>
      </c>
      <c r="D431">
        <v>325942.09999999998</v>
      </c>
      <c r="E431">
        <v>0</v>
      </c>
      <c r="F431">
        <v>0</v>
      </c>
      <c r="G431">
        <v>0</v>
      </c>
      <c r="H431" s="1">
        <v>325942.09999999998</v>
      </c>
      <c r="I431">
        <v>325.94209999999998</v>
      </c>
      <c r="J431" s="52" t="e">
        <f>INDEX('Plano de Contas'!#REF!,MATCH(tbDez16[[#This Row],[Conta]],'Plano de Contas'!#REF!,0))</f>
        <v>#REF!</v>
      </c>
      <c r="K431" s="52" t="e">
        <f>INDEX('Plano de Contas'!#REF!,MATCH(tbDez16[[#This Row],[Conta]],'Plano de Contas'!#REF!,0))</f>
        <v>#REF!</v>
      </c>
      <c r="L431" t="e">
        <f>INDEX('Plano de Contas'!#REF!,MATCH(tbDez16[[#This Row],[Conta]],'Plano de Contas'!#REF!,0))</f>
        <v>#REF!</v>
      </c>
    </row>
    <row r="432" spans="1:12" x14ac:dyDescent="0.25">
      <c r="A432" t="s">
        <v>1479</v>
      </c>
      <c r="B432" t="s">
        <v>2358</v>
      </c>
      <c r="C432" t="s">
        <v>2359</v>
      </c>
      <c r="D432">
        <v>-325942.09999999998</v>
      </c>
      <c r="E432">
        <v>0</v>
      </c>
      <c r="F432">
        <v>0</v>
      </c>
      <c r="G432">
        <v>0</v>
      </c>
      <c r="H432" s="1">
        <v>-325942.09999999998</v>
      </c>
      <c r="I432">
        <v>-325.94209999999998</v>
      </c>
      <c r="J432" s="52" t="e">
        <f>INDEX('Plano de Contas'!#REF!,MATCH(tbDez16[[#This Row],[Conta]],'Plano de Contas'!#REF!,0))</f>
        <v>#REF!</v>
      </c>
      <c r="K432" s="52" t="e">
        <f>INDEX('Plano de Contas'!#REF!,MATCH(tbDez16[[#This Row],[Conta]],'Plano de Contas'!#REF!,0))</f>
        <v>#REF!</v>
      </c>
      <c r="L432" t="e">
        <f>INDEX('Plano de Contas'!#REF!,MATCH(tbDez16[[#This Row],[Conta]],'Plano de Contas'!#REF!,0))</f>
        <v>#REF!</v>
      </c>
    </row>
    <row r="433" spans="1:12" x14ac:dyDescent="0.25">
      <c r="A433" t="s">
        <v>972</v>
      </c>
      <c r="B433" t="s">
        <v>2360</v>
      </c>
      <c r="C433" t="s">
        <v>2351</v>
      </c>
      <c r="D433">
        <v>-325942.09999999998</v>
      </c>
      <c r="E433">
        <v>0</v>
      </c>
      <c r="F433">
        <v>0</v>
      </c>
      <c r="G433">
        <v>0</v>
      </c>
      <c r="H433" s="1">
        <v>-325942.09999999998</v>
      </c>
      <c r="I433">
        <v>-325.94209999999998</v>
      </c>
      <c r="J433" s="52" t="e">
        <f>INDEX('Plano de Contas'!#REF!,MATCH(tbDez16[[#This Row],[Conta]],'Plano de Contas'!#REF!,0))</f>
        <v>#REF!</v>
      </c>
      <c r="K433" s="52" t="e">
        <f>INDEX('Plano de Contas'!#REF!,MATCH(tbDez16[[#This Row],[Conta]],'Plano de Contas'!#REF!,0))</f>
        <v>#REF!</v>
      </c>
      <c r="L433" t="e">
        <f>INDEX('Plano de Contas'!#REF!,MATCH(tbDez16[[#This Row],[Conta]],'Plano de Contas'!#REF!,0))</f>
        <v>#REF!</v>
      </c>
    </row>
    <row r="434" spans="1:12" x14ac:dyDescent="0.25">
      <c r="A434" t="s">
        <v>973</v>
      </c>
      <c r="B434" t="s">
        <v>2361</v>
      </c>
      <c r="C434" t="s">
        <v>2353</v>
      </c>
      <c r="D434">
        <v>-325942.09999999998</v>
      </c>
      <c r="E434">
        <v>0</v>
      </c>
      <c r="F434">
        <v>0</v>
      </c>
      <c r="G434">
        <v>0</v>
      </c>
      <c r="H434" s="1">
        <v>-325942.09999999998</v>
      </c>
      <c r="I434">
        <v>-325.94209999999998</v>
      </c>
      <c r="J434" s="52" t="e">
        <f>INDEX('Plano de Contas'!#REF!,MATCH(tbDez16[[#This Row],[Conta]],'Plano de Contas'!#REF!,0))</f>
        <v>#REF!</v>
      </c>
      <c r="K434" s="52" t="e">
        <f>INDEX('Plano de Contas'!#REF!,MATCH(tbDez16[[#This Row],[Conta]],'Plano de Contas'!#REF!,0))</f>
        <v>#REF!</v>
      </c>
      <c r="L434" t="e">
        <f>INDEX('Plano de Contas'!#REF!,MATCH(tbDez16[[#This Row],[Conta]],'Plano de Contas'!#REF!,0))</f>
        <v>#REF!</v>
      </c>
    </row>
    <row r="435" spans="1:12" x14ac:dyDescent="0.25">
      <c r="A435" t="s">
        <v>974</v>
      </c>
      <c r="B435" t="s">
        <v>2362</v>
      </c>
      <c r="C435" t="s">
        <v>2355</v>
      </c>
      <c r="D435">
        <v>-325942.09999999998</v>
      </c>
      <c r="E435">
        <v>0</v>
      </c>
      <c r="F435">
        <v>0</v>
      </c>
      <c r="G435">
        <v>0</v>
      </c>
      <c r="H435" s="1">
        <v>-325942.09999999998</v>
      </c>
      <c r="I435">
        <v>-325.94209999999998</v>
      </c>
      <c r="J435" s="52" t="e">
        <f>INDEX('Plano de Contas'!#REF!,MATCH(tbDez16[[#This Row],[Conta]],'Plano de Contas'!#REF!,0))</f>
        <v>#REF!</v>
      </c>
      <c r="K435" s="52" t="e">
        <f>INDEX('Plano de Contas'!#REF!,MATCH(tbDez16[[#This Row],[Conta]],'Plano de Contas'!#REF!,0))</f>
        <v>#REF!</v>
      </c>
      <c r="L435" t="e">
        <f>INDEX('Plano de Contas'!#REF!,MATCH(tbDez16[[#This Row],[Conta]],'Plano de Contas'!#REF!,0))</f>
        <v>#REF!</v>
      </c>
    </row>
    <row r="436" spans="1:12" x14ac:dyDescent="0.25">
      <c r="A436" t="s">
        <v>975</v>
      </c>
      <c r="B436" t="s">
        <v>2363</v>
      </c>
      <c r="C436" t="s">
        <v>2357</v>
      </c>
      <c r="D436">
        <v>-325942.09999999998</v>
      </c>
      <c r="E436">
        <v>0</v>
      </c>
      <c r="F436">
        <v>0</v>
      </c>
      <c r="G436">
        <v>0</v>
      </c>
      <c r="H436" s="1">
        <v>-325942.09999999998</v>
      </c>
      <c r="I436">
        <v>-325.94209999999998</v>
      </c>
      <c r="J436" s="52" t="e">
        <f>INDEX('Plano de Contas'!#REF!,MATCH(tbDez16[[#This Row],[Conta]],'Plano de Contas'!#REF!,0))</f>
        <v>#REF!</v>
      </c>
      <c r="K436" s="52" t="e">
        <f>INDEX('Plano de Contas'!#REF!,MATCH(tbDez16[[#This Row],[Conta]],'Plano de Contas'!#REF!,0))</f>
        <v>#REF!</v>
      </c>
      <c r="L436" t="e">
        <f>INDEX('Plano de Contas'!#REF!,MATCH(tbDez16[[#This Row],[Conta]],'Plano de Contas'!#REF!,0))</f>
        <v>#REF!</v>
      </c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97871-8A87-4D47-AD06-5F596641018A}">
  <dimension ref="N1:O1"/>
  <sheetViews>
    <sheetView topLeftCell="A301" zoomScale="80" zoomScaleNormal="80" workbookViewId="0">
      <selection activeCell="B319" sqref="B319"/>
    </sheetView>
  </sheetViews>
  <sheetFormatPr defaultRowHeight="15" x14ac:dyDescent="0.25"/>
  <cols>
    <col min="14" max="15" width="9.140625" style="52"/>
  </cols>
  <sheetData/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L55"/>
  <sheetViews>
    <sheetView workbookViewId="0">
      <selection activeCell="D128" sqref="D128"/>
    </sheetView>
  </sheetViews>
  <sheetFormatPr defaultRowHeight="16.5" x14ac:dyDescent="0.3"/>
  <cols>
    <col min="1" max="1" width="9.140625" style="121"/>
    <col min="2" max="2" width="28.140625" style="121" customWidth="1"/>
    <col min="3" max="3" width="16" style="121" bestFit="1" customWidth="1"/>
    <col min="4" max="4" width="2" style="121" customWidth="1"/>
    <col min="5" max="5" width="19.5703125" style="121" bestFit="1" customWidth="1"/>
    <col min="6" max="6" width="1.7109375" style="121" customWidth="1"/>
    <col min="7" max="7" width="15.140625" style="121" bestFit="1" customWidth="1"/>
    <col min="8" max="8" width="1.7109375" style="121" customWidth="1"/>
    <col min="9" max="9" width="16.5703125" style="121" bestFit="1" customWidth="1"/>
    <col min="10" max="10" width="2" style="121" customWidth="1"/>
    <col min="11" max="11" width="11.140625" style="121" bestFit="1" customWidth="1"/>
    <col min="12" max="12" width="55.28515625" style="121" customWidth="1"/>
    <col min="13" max="13" width="14" style="121" bestFit="1" customWidth="1"/>
    <col min="14" max="16384" width="9.140625" style="121"/>
  </cols>
  <sheetData>
    <row r="1" spans="2:11" ht="17.25" thickBot="1" x14ac:dyDescent="0.35"/>
    <row r="2" spans="2:11" ht="17.25" thickBot="1" x14ac:dyDescent="0.35">
      <c r="B2" s="159" t="s">
        <v>300</v>
      </c>
      <c r="C2" s="286" t="s">
        <v>1428</v>
      </c>
      <c r="D2" s="286"/>
      <c r="E2" s="286"/>
      <c r="F2" s="286"/>
      <c r="G2" s="286"/>
      <c r="H2" s="286"/>
      <c r="I2" s="286"/>
      <c r="J2" s="286"/>
      <c r="K2" s="286"/>
    </row>
    <row r="3" spans="2:11" ht="17.25" thickBot="1" x14ac:dyDescent="0.35">
      <c r="B3" s="159"/>
      <c r="C3" s="287">
        <v>43465</v>
      </c>
      <c r="D3" s="286"/>
      <c r="E3" s="286"/>
      <c r="F3" s="286"/>
      <c r="G3" s="286"/>
      <c r="H3" s="286"/>
      <c r="I3" s="286"/>
      <c r="J3" s="160"/>
      <c r="K3" s="158" t="s">
        <v>2383</v>
      </c>
    </row>
    <row r="4" spans="2:11" x14ac:dyDescent="0.3">
      <c r="B4" s="288"/>
      <c r="C4" s="284" t="s">
        <v>1100</v>
      </c>
      <c r="D4" s="284"/>
      <c r="E4" s="284" t="s">
        <v>1430</v>
      </c>
      <c r="F4" s="284"/>
      <c r="G4" s="157" t="s">
        <v>1431</v>
      </c>
      <c r="H4" s="284"/>
      <c r="I4" s="284" t="s">
        <v>1102</v>
      </c>
      <c r="J4" s="289"/>
      <c r="K4" s="284" t="s">
        <v>1102</v>
      </c>
    </row>
    <row r="5" spans="2:11" ht="17.25" thickBot="1" x14ac:dyDescent="0.35">
      <c r="B5" s="288"/>
      <c r="C5" s="285"/>
      <c r="D5" s="289"/>
      <c r="E5" s="285"/>
      <c r="F5" s="289"/>
      <c r="G5" s="158" t="s">
        <v>1103</v>
      </c>
      <c r="H5" s="289"/>
      <c r="I5" s="285"/>
      <c r="J5" s="289"/>
      <c r="K5" s="285"/>
    </row>
    <row r="6" spans="2:11" x14ac:dyDescent="0.3">
      <c r="B6" s="122"/>
      <c r="C6" s="122"/>
      <c r="D6" s="122"/>
      <c r="E6" s="122"/>
      <c r="F6" s="122"/>
      <c r="G6" s="122"/>
      <c r="H6" s="122"/>
      <c r="I6" s="122"/>
      <c r="J6" s="122"/>
      <c r="K6" s="122"/>
    </row>
    <row r="7" spans="2:11" x14ac:dyDescent="0.3">
      <c r="B7" s="159" t="s">
        <v>193</v>
      </c>
      <c r="C7" s="131" t="e">
        <f>ROUND(SUMIFS(#REF!,#REF!,$B7,#REF!,$C$3)/_divisor,_decimos)</f>
        <v>#REF!</v>
      </c>
      <c r="D7" s="128"/>
      <c r="E7" s="131" t="e">
        <f>ROUND(SUMIFS(#REF!,#REF!,"AAP-" &amp; $B7,#REF!,$C$3)/_divisor,_decimos)</f>
        <v>#REF!</v>
      </c>
      <c r="F7" s="129"/>
      <c r="G7" s="131" t="e">
        <f>ROUND(SUMIFS(#REF!,#REF!,"DA-" &amp; $B7,#REF!,$C$3)/_divisor,_decimos)</f>
        <v>#REF!</v>
      </c>
      <c r="H7" s="128"/>
      <c r="I7" s="131" t="e">
        <f>C7+E7+G7</f>
        <v>#REF!</v>
      </c>
      <c r="J7" s="128"/>
      <c r="K7" s="128"/>
    </row>
    <row r="8" spans="2:11" x14ac:dyDescent="0.3">
      <c r="B8" s="159" t="s">
        <v>1089</v>
      </c>
      <c r="C8" s="131" t="e">
        <f>ROUND(SUMIFS(#REF!,#REF!,$B8,#REF!,$C$3)/_divisor,_decimos)</f>
        <v>#REF!</v>
      </c>
      <c r="D8" s="128"/>
      <c r="E8" s="131" t="e">
        <f>ROUND(SUMIFS(#REF!,#REF!,"AAP-" &amp; $B8,#REF!,$C$3)/_divisor,_decimos)</f>
        <v>#REF!</v>
      </c>
      <c r="F8" s="128"/>
      <c r="G8" s="131" t="e">
        <f>ROUND(SUMIFS(#REF!,#REF!,"DA-" &amp; $B8,#REF!,$C$3)/_divisor,_decimos)</f>
        <v>#REF!</v>
      </c>
      <c r="H8" s="128"/>
      <c r="I8" s="131" t="e">
        <f t="shared" ref="I8:I15" si="0">C8+E8+G8</f>
        <v>#REF!</v>
      </c>
      <c r="J8" s="128"/>
      <c r="K8" s="128"/>
    </row>
    <row r="9" spans="2:11" x14ac:dyDescent="0.3">
      <c r="B9" s="159" t="s">
        <v>1432</v>
      </c>
      <c r="C9" s="131" t="e">
        <f>ROUND(SUMIFS(#REF!,#REF!,$B9,#REF!,$C$3)/_divisor,_decimos)</f>
        <v>#REF!</v>
      </c>
      <c r="D9" s="128"/>
      <c r="E9" s="131" t="e">
        <f>ROUND(SUMIFS(#REF!,#REF!,"AAP-" &amp; $B9,#REF!,$C$3)/_divisor,_decimos)</f>
        <v>#REF!</v>
      </c>
      <c r="F9" s="128"/>
      <c r="G9" s="131" t="e">
        <f>ROUND(SUMIFS(#REF!,#REF!,"DA-" &amp; $B9,#REF!,$C$3)/_divisor,_decimos)</f>
        <v>#REF!</v>
      </c>
      <c r="H9" s="128"/>
      <c r="I9" s="131" t="e">
        <f t="shared" si="0"/>
        <v>#REF!</v>
      </c>
      <c r="J9" s="128"/>
      <c r="K9" s="128"/>
    </row>
    <row r="10" spans="2:11" x14ac:dyDescent="0.3">
      <c r="B10" s="159" t="s">
        <v>1433</v>
      </c>
      <c r="C10" s="131" t="e">
        <f>ROUND(SUMIFS(#REF!,#REF!,$B10,#REF!,$C$3)/_divisor,_decimos)</f>
        <v>#REF!</v>
      </c>
      <c r="D10" s="128"/>
      <c r="E10" s="131" t="e">
        <f>ROUND(SUMIFS(#REF!,#REF!,"AAP-" &amp; $B10,#REF!,$C$3)/_divisor,_decimos)</f>
        <v>#REF!</v>
      </c>
      <c r="F10" s="130"/>
      <c r="G10" s="131" t="e">
        <f>ROUND(SUMIFS(#REF!,#REF!,"DA-" &amp; $B10,#REF!,$C$3)/_divisor,_decimos)</f>
        <v>#REF!</v>
      </c>
      <c r="H10" s="128"/>
      <c r="I10" s="131" t="e">
        <f t="shared" si="0"/>
        <v>#REF!</v>
      </c>
      <c r="J10" s="128"/>
      <c r="K10" s="128"/>
    </row>
    <row r="11" spans="2:11" x14ac:dyDescent="0.3">
      <c r="B11" s="159" t="s">
        <v>1434</v>
      </c>
      <c r="C11" s="131" t="e">
        <f>ROUND(SUMIFS(#REF!,#REF!,$B11,#REF!,$C$3)/_divisor,_decimos)</f>
        <v>#REF!</v>
      </c>
      <c r="D11" s="128"/>
      <c r="E11" s="131" t="e">
        <f>ROUND(SUMIFS(#REF!,#REF!,"AAP-" &amp; $B11,#REF!,$C$3)/_divisor,_decimos)</f>
        <v>#REF!</v>
      </c>
      <c r="F11" s="128"/>
      <c r="G11" s="131" t="e">
        <f>ROUND(SUMIFS(#REF!,#REF!,"DA-" &amp; $B11,#REF!,$C$3)/_divisor,_decimos)</f>
        <v>#REF!</v>
      </c>
      <c r="H11" s="128"/>
      <c r="I11" s="131" t="e">
        <f t="shared" si="0"/>
        <v>#REF!</v>
      </c>
      <c r="J11" s="128"/>
      <c r="K11" s="128"/>
    </row>
    <row r="12" spans="2:11" x14ac:dyDescent="0.3">
      <c r="B12" s="159" t="s">
        <v>1435</v>
      </c>
      <c r="C12" s="131" t="e">
        <f>ROUND(SUMIFS(#REF!,#REF!,$B12,#REF!,$C$3)/_divisor,_decimos)</f>
        <v>#REF!</v>
      </c>
      <c r="D12" s="128"/>
      <c r="E12" s="131" t="e">
        <f>ROUND(SUMIFS(#REF!,#REF!,"AAP-" &amp; $B12,#REF!,$C$3)/_divisor,_decimos)</f>
        <v>#REF!</v>
      </c>
      <c r="F12" s="128"/>
      <c r="G12" s="131" t="e">
        <f>ROUND(SUMIFS(#REF!,#REF!,"DA-" &amp; $B12,#REF!,$C$3)/_divisor,_decimos)</f>
        <v>#REF!</v>
      </c>
      <c r="H12" s="128"/>
      <c r="I12" s="131" t="e">
        <f t="shared" si="0"/>
        <v>#REF!</v>
      </c>
      <c r="J12" s="128"/>
      <c r="K12" s="128"/>
    </row>
    <row r="13" spans="2:11" x14ac:dyDescent="0.3">
      <c r="B13" s="159" t="s">
        <v>1436</v>
      </c>
      <c r="C13" s="131" t="e">
        <f>ROUND(SUMIFS(#REF!,#REF!,$B13,#REF!,$C$3)/_divisor,_decimos)</f>
        <v>#REF!</v>
      </c>
      <c r="D13" s="128"/>
      <c r="E13" s="131" t="e">
        <f>ROUND(SUMIFS(#REF!,#REF!,"AAP-" &amp; $B13,#REF!,$C$3)/_divisor,_decimos)</f>
        <v>#REF!</v>
      </c>
      <c r="F13" s="128"/>
      <c r="G13" s="131" t="e">
        <f>ROUND(SUMIFS(#REF!,#REF!,"DA-" &amp; $B13,#REF!,$C$3)/_divisor,_decimos)</f>
        <v>#REF!</v>
      </c>
      <c r="H13" s="128"/>
      <c r="I13" s="131" t="e">
        <f t="shared" si="0"/>
        <v>#REF!</v>
      </c>
      <c r="J13" s="128"/>
      <c r="K13" s="128"/>
    </row>
    <row r="14" spans="2:11" x14ac:dyDescent="0.3">
      <c r="B14" s="159" t="s">
        <v>1437</v>
      </c>
      <c r="C14" s="131" t="e">
        <f>ROUND(SUMIFS(#REF!,#REF!,$B14,#REF!,$C$3)/_divisor,_decimos)</f>
        <v>#REF!</v>
      </c>
      <c r="D14" s="128"/>
      <c r="E14" s="131" t="e">
        <f>ROUND(SUMIFS(#REF!,#REF!,"AAP-" &amp; $B14,#REF!,$C$3)/_divisor,_decimos)</f>
        <v>#REF!</v>
      </c>
      <c r="F14" s="128"/>
      <c r="G14" s="131" t="e">
        <f>ROUND(SUMIFS(#REF!,#REF!,"DA-" &amp; $B14,#REF!,$C$3)/_divisor,_decimos)</f>
        <v>#REF!</v>
      </c>
      <c r="H14" s="128"/>
      <c r="I14" s="131" t="e">
        <f t="shared" si="0"/>
        <v>#REF!</v>
      </c>
      <c r="J14" s="128"/>
      <c r="K14" s="128"/>
    </row>
    <row r="15" spans="2:11" x14ac:dyDescent="0.3">
      <c r="B15" s="159" t="s">
        <v>1438</v>
      </c>
      <c r="C15" s="131" t="e">
        <f>ROUND(SUMIFS(#REF!,#REF!,$B15,#REF!,$C$3)/_divisor,_decimos)</f>
        <v>#REF!</v>
      </c>
      <c r="D15" s="128"/>
      <c r="E15" s="131" t="e">
        <f>ROUND(SUMIFS(#REF!,#REF!,"AAP-" &amp; $B15,#REF!,$C$3)/_divisor,_decimos)</f>
        <v>#REF!</v>
      </c>
      <c r="F15" s="128"/>
      <c r="G15" s="131" t="e">
        <f>ROUND(SUMIFS(#REF!,#REF!,"DA-" &amp; $B15,#REF!,$C$3)/_divisor,_decimos)</f>
        <v>#REF!</v>
      </c>
      <c r="H15" s="128"/>
      <c r="I15" s="131" t="e">
        <f t="shared" si="0"/>
        <v>#REF!</v>
      </c>
      <c r="J15" s="128"/>
      <c r="K15" s="128"/>
    </row>
    <row r="16" spans="2:11" ht="17.25" thickBot="1" x14ac:dyDescent="0.35">
      <c r="B16" s="122"/>
      <c r="C16" s="123"/>
      <c r="D16" s="124"/>
      <c r="E16" s="123"/>
      <c r="F16" s="124"/>
      <c r="G16" s="123"/>
      <c r="H16" s="124"/>
      <c r="I16" s="123"/>
      <c r="J16" s="124"/>
      <c r="K16" s="123"/>
    </row>
    <row r="17" spans="2:12" ht="17.25" thickBot="1" x14ac:dyDescent="0.35">
      <c r="B17" s="125"/>
      <c r="C17" s="132" t="e">
        <f>SUM(C7:C16)</f>
        <v>#REF!</v>
      </c>
      <c r="D17" s="133"/>
      <c r="E17" s="132" t="e">
        <f>SUM(E7:E16)</f>
        <v>#REF!</v>
      </c>
      <c r="F17" s="133"/>
      <c r="G17" s="132" t="e">
        <f>SUM(G7:G16)</f>
        <v>#REF!</v>
      </c>
      <c r="H17" s="133"/>
      <c r="I17" s="132" t="e">
        <f>SUM(I7:I16)</f>
        <v>#REF!</v>
      </c>
      <c r="J17" s="126"/>
      <c r="K17" s="127">
        <v>5016847</v>
      </c>
    </row>
    <row r="18" spans="2:12" ht="17.25" thickTop="1" x14ac:dyDescent="0.3">
      <c r="I18" s="164" t="e">
        <f>I17-BP!J37</f>
        <v>#REF!</v>
      </c>
    </row>
    <row r="20" spans="2:12" ht="17.25" thickBot="1" x14ac:dyDescent="0.35">
      <c r="B20" s="156"/>
      <c r="C20" s="281" t="s">
        <v>1097</v>
      </c>
      <c r="D20" s="281"/>
      <c r="E20" s="281"/>
      <c r="F20" s="281"/>
      <c r="G20" s="281"/>
      <c r="H20" s="281"/>
      <c r="I20" s="281"/>
    </row>
    <row r="21" spans="2:12" ht="17.25" thickBot="1" x14ac:dyDescent="0.35">
      <c r="B21" s="156" t="s">
        <v>1439</v>
      </c>
      <c r="C21" s="293">
        <v>43465</v>
      </c>
      <c r="D21" s="282"/>
      <c r="E21" s="282"/>
      <c r="F21" s="282"/>
      <c r="G21" s="282"/>
      <c r="H21" s="155"/>
      <c r="I21" s="145" t="s">
        <v>2383</v>
      </c>
    </row>
    <row r="22" spans="2:12" x14ac:dyDescent="0.3">
      <c r="B22" s="290"/>
      <c r="C22" s="291" t="s">
        <v>1100</v>
      </c>
      <c r="D22" s="291"/>
      <c r="E22" s="155" t="s">
        <v>1101</v>
      </c>
      <c r="F22" s="291"/>
      <c r="G22" s="291" t="s">
        <v>1102</v>
      </c>
      <c r="H22" s="292"/>
      <c r="I22" s="291" t="s">
        <v>1102</v>
      </c>
    </row>
    <row r="23" spans="2:12" ht="17.25" thickBot="1" x14ac:dyDescent="0.35">
      <c r="B23" s="290"/>
      <c r="C23" s="281"/>
      <c r="D23" s="292"/>
      <c r="E23" s="144" t="s">
        <v>1103</v>
      </c>
      <c r="F23" s="292"/>
      <c r="G23" s="281"/>
      <c r="H23" s="292"/>
      <c r="I23" s="281"/>
    </row>
    <row r="24" spans="2:12" x14ac:dyDescent="0.3">
      <c r="B24" s="80"/>
      <c r="C24" s="80"/>
      <c r="D24" s="80"/>
      <c r="E24" s="80"/>
      <c r="F24" s="80"/>
      <c r="G24" s="80"/>
      <c r="H24" s="80"/>
      <c r="I24" s="80"/>
    </row>
    <row r="25" spans="2:12" x14ac:dyDescent="0.3">
      <c r="B25" s="159" t="s">
        <v>1104</v>
      </c>
      <c r="C25" s="134"/>
      <c r="D25" s="134"/>
      <c r="E25" s="134"/>
      <c r="F25" s="81"/>
      <c r="G25" s="134"/>
      <c r="H25" s="134"/>
      <c r="I25" s="134"/>
    </row>
    <row r="26" spans="2:12" x14ac:dyDescent="0.3">
      <c r="B26" s="159" t="s">
        <v>1440</v>
      </c>
      <c r="C26" s="131" t="e">
        <f>SUMIFS(#REF!,#REF!,$B26,#REF!,$C$3)</f>
        <v>#REF!</v>
      </c>
      <c r="D26" s="134"/>
      <c r="E26" s="131" t="e">
        <f>SUMIFS(#REF!,#REF!,"AA-" &amp; $B26,#REF!,$C$3)</f>
        <v>#REF!</v>
      </c>
      <c r="F26" s="81"/>
      <c r="G26" s="141" t="e">
        <f>C26+E26</f>
        <v>#REF!</v>
      </c>
      <c r="H26" s="134"/>
      <c r="I26" s="135"/>
      <c r="L26" s="159" t="s">
        <v>1440</v>
      </c>
    </row>
    <row r="27" spans="2:12" x14ac:dyDescent="0.3">
      <c r="B27" s="159" t="s">
        <v>1441</v>
      </c>
      <c r="C27" s="131" t="e">
        <f>SUMIFS(#REF!,#REF!,$B27,#REF!,$C$3)</f>
        <v>#REF!</v>
      </c>
      <c r="D27" s="134"/>
      <c r="E27" s="131" t="e">
        <f>SUMIFS(#REF!,#REF!,"AA-" &amp; $B27,#REF!,$C$3)</f>
        <v>#REF!</v>
      </c>
      <c r="F27" s="81"/>
      <c r="G27" s="141" t="e">
        <f t="shared" ref="G27:G33" si="1">C27+E27</f>
        <v>#REF!</v>
      </c>
      <c r="H27" s="134"/>
      <c r="I27" s="135"/>
      <c r="L27" s="159" t="s">
        <v>1441</v>
      </c>
    </row>
    <row r="28" spans="2:12" ht="24" x14ac:dyDescent="0.3">
      <c r="B28" s="159" t="s">
        <v>1442</v>
      </c>
      <c r="C28" s="131" t="e">
        <f>SUMIFS(#REF!,#REF!,$B28,#REF!,$C$3)</f>
        <v>#REF!</v>
      </c>
      <c r="D28" s="134"/>
      <c r="E28" s="131" t="e">
        <f>SUMIFS(#REF!,#REF!,"AA-" &amp; $B28,#REF!,$C$3)</f>
        <v>#REF!</v>
      </c>
      <c r="F28" s="81"/>
      <c r="G28" s="141" t="e">
        <f t="shared" si="1"/>
        <v>#REF!</v>
      </c>
      <c r="H28" s="134"/>
      <c r="I28" s="135"/>
      <c r="L28" s="159" t="s">
        <v>1442</v>
      </c>
    </row>
    <row r="29" spans="2:12" x14ac:dyDescent="0.3">
      <c r="B29" s="159" t="s">
        <v>1443</v>
      </c>
      <c r="C29" s="131" t="e">
        <f>SUMIFS(#REF!,#REF!,$B29,#REF!,$C$3)</f>
        <v>#REF!</v>
      </c>
      <c r="D29" s="134"/>
      <c r="E29" s="131" t="e">
        <f>SUMIFS(#REF!,#REF!,"AA-" &amp; $B29,#REF!,$C$3)</f>
        <v>#REF!</v>
      </c>
      <c r="F29" s="81"/>
      <c r="G29" s="141" t="e">
        <f t="shared" si="1"/>
        <v>#REF!</v>
      </c>
      <c r="H29" s="134"/>
      <c r="I29" s="134"/>
      <c r="L29" s="159" t="s">
        <v>1443</v>
      </c>
    </row>
    <row r="30" spans="2:12" x14ac:dyDescent="0.3">
      <c r="B30" s="159" t="s">
        <v>466</v>
      </c>
      <c r="C30" s="131" t="e">
        <f>SUMIFS(#REF!,#REF!,$B30,#REF!,$C$3)</f>
        <v>#REF!</v>
      </c>
      <c r="D30" s="134"/>
      <c r="E30" s="131" t="e">
        <f>SUMIFS(#REF!,#REF!,"AA-" &amp; $B30,#REF!,$C$3)</f>
        <v>#REF!</v>
      </c>
      <c r="F30" s="81"/>
      <c r="G30" s="141" t="e">
        <f t="shared" si="1"/>
        <v>#REF!</v>
      </c>
      <c r="H30" s="134"/>
      <c r="I30" s="135"/>
      <c r="L30" s="159" t="s">
        <v>466</v>
      </c>
    </row>
    <row r="31" spans="2:12" x14ac:dyDescent="0.3">
      <c r="B31" s="159" t="s">
        <v>1444</v>
      </c>
      <c r="C31" s="131" t="e">
        <f>SUMIFS(#REF!,#REF!,$B31,#REF!,$C$3)</f>
        <v>#REF!</v>
      </c>
      <c r="D31" s="134"/>
      <c r="E31" s="131" t="e">
        <f>SUMIFS(#REF!,#REF!,"AA-" &amp; $B31,#REF!,$C$3)</f>
        <v>#REF!</v>
      </c>
      <c r="F31" s="81"/>
      <c r="G31" s="141" t="e">
        <f t="shared" si="1"/>
        <v>#REF!</v>
      </c>
      <c r="H31" s="134"/>
      <c r="I31" s="135"/>
      <c r="L31" s="159" t="s">
        <v>1444</v>
      </c>
    </row>
    <row r="32" spans="2:12" x14ac:dyDescent="0.3">
      <c r="B32" s="159" t="s">
        <v>359</v>
      </c>
      <c r="C32" s="131" t="e">
        <f>SUMIFS(#REF!,#REF!,$B32,#REF!,$C$3)</f>
        <v>#REF!</v>
      </c>
      <c r="D32" s="134"/>
      <c r="E32" s="131" t="e">
        <f>SUMIFS(#REF!,#REF!,"AA-" &amp; $B32,#REF!,$C$3)</f>
        <v>#REF!</v>
      </c>
      <c r="F32" s="81"/>
      <c r="G32" s="141" t="e">
        <f t="shared" si="1"/>
        <v>#REF!</v>
      </c>
      <c r="H32" s="134"/>
      <c r="I32" s="135"/>
      <c r="L32" s="159" t="s">
        <v>359</v>
      </c>
    </row>
    <row r="33" spans="2:12" x14ac:dyDescent="0.3">
      <c r="B33" s="159" t="s">
        <v>2445</v>
      </c>
      <c r="C33" s="131" t="e">
        <f>SUMIFS(#REF!,#REF!,$B33,#REF!,$C$3)</f>
        <v>#REF!</v>
      </c>
      <c r="D33" s="134"/>
      <c r="E33" s="131" t="e">
        <f>SUMIFS(#REF!,#REF!,"AA-" &amp; $B33,#REF!,$C$3)</f>
        <v>#REF!</v>
      </c>
      <c r="F33" s="81"/>
      <c r="G33" s="141" t="e">
        <f t="shared" si="1"/>
        <v>#REF!</v>
      </c>
      <c r="H33" s="134"/>
      <c r="I33" s="135"/>
      <c r="L33" s="159" t="s">
        <v>1445</v>
      </c>
    </row>
    <row r="34" spans="2:12" ht="17.25" thickBot="1" x14ac:dyDescent="0.35">
      <c r="B34" s="80"/>
      <c r="C34" s="136"/>
      <c r="D34" s="137"/>
      <c r="E34" s="136"/>
      <c r="F34" s="138"/>
      <c r="G34" s="136"/>
      <c r="H34" s="137"/>
      <c r="I34" s="136"/>
    </row>
    <row r="35" spans="2:12" ht="17.25" thickBot="1" x14ac:dyDescent="0.35">
      <c r="B35" s="82"/>
      <c r="C35" s="140" t="e">
        <f>SUM(C26:C34)</f>
        <v>#REF!</v>
      </c>
      <c r="D35" s="84"/>
      <c r="E35" s="140" t="e">
        <f>SUM(E26:E34)</f>
        <v>#REF!</v>
      </c>
      <c r="F35" s="85"/>
      <c r="G35" s="140" t="e">
        <f>SUM(G26:G34)</f>
        <v>#REF!</v>
      </c>
      <c r="H35" s="84"/>
      <c r="I35" s="83">
        <v>44322</v>
      </c>
      <c r="L35"/>
    </row>
    <row r="36" spans="2:12" ht="17.25" thickTop="1" x14ac:dyDescent="0.3">
      <c r="G36" s="164" t="e">
        <f>G35-BP!J41</f>
        <v>#REF!</v>
      </c>
      <c r="L36"/>
    </row>
    <row r="37" spans="2:12" x14ac:dyDescent="0.3">
      <c r="L37"/>
    </row>
    <row r="38" spans="2:12" ht="17.25" thickBot="1" x14ac:dyDescent="0.35">
      <c r="B38" s="156"/>
      <c r="C38" s="281" t="s">
        <v>1097</v>
      </c>
      <c r="D38" s="281"/>
      <c r="E38" s="281"/>
      <c r="F38" s="281"/>
      <c r="G38" s="281"/>
      <c r="H38" s="281"/>
      <c r="I38" s="281"/>
      <c r="L38"/>
    </row>
    <row r="39" spans="2:12" ht="17.25" thickBot="1" x14ac:dyDescent="0.35">
      <c r="B39" s="156"/>
      <c r="C39" s="282" t="s">
        <v>1429</v>
      </c>
      <c r="D39" s="282"/>
      <c r="E39" s="282"/>
      <c r="F39" s="155"/>
      <c r="G39" s="282" t="s">
        <v>1098</v>
      </c>
      <c r="H39" s="282"/>
      <c r="I39" s="282"/>
      <c r="L39"/>
    </row>
    <row r="40" spans="2:12" ht="17.25" thickBot="1" x14ac:dyDescent="0.35">
      <c r="B40" s="156"/>
      <c r="C40" s="144" t="s">
        <v>1114</v>
      </c>
      <c r="D40" s="155"/>
      <c r="E40" s="145" t="s">
        <v>1115</v>
      </c>
      <c r="F40" s="154"/>
      <c r="G40" s="144" t="s">
        <v>1114</v>
      </c>
      <c r="H40" s="154"/>
      <c r="I40" s="144" t="s">
        <v>1115</v>
      </c>
      <c r="L40"/>
    </row>
    <row r="41" spans="2:12" x14ac:dyDescent="0.3">
      <c r="B41" s="80"/>
      <c r="C41" s="80"/>
      <c r="D41" s="80"/>
      <c r="E41" s="80"/>
      <c r="F41" s="80"/>
      <c r="G41" s="80"/>
      <c r="H41" s="80"/>
      <c r="I41" s="80"/>
      <c r="L41"/>
    </row>
    <row r="42" spans="2:12" x14ac:dyDescent="0.3">
      <c r="B42" s="156" t="s">
        <v>1116</v>
      </c>
      <c r="C42" s="134"/>
      <c r="D42" s="134"/>
      <c r="E42" s="134"/>
      <c r="F42" s="81"/>
      <c r="G42" s="135"/>
      <c r="H42" s="134"/>
      <c r="I42" s="134"/>
      <c r="L42"/>
    </row>
    <row r="43" spans="2:12" x14ac:dyDescent="0.3">
      <c r="B43" s="156" t="s">
        <v>1117</v>
      </c>
      <c r="C43" s="134"/>
      <c r="D43" s="134"/>
      <c r="E43" s="134"/>
      <c r="F43" s="81"/>
      <c r="G43" s="134"/>
      <c r="H43" s="134"/>
      <c r="I43" s="134"/>
    </row>
    <row r="44" spans="2:12" x14ac:dyDescent="0.3">
      <c r="B44" s="156" t="s">
        <v>929</v>
      </c>
      <c r="C44" s="134"/>
      <c r="D44" s="134"/>
      <c r="E44" s="134"/>
      <c r="F44" s="81"/>
      <c r="G44" s="134"/>
      <c r="H44" s="134"/>
      <c r="I44" s="134"/>
    </row>
    <row r="45" spans="2:12" x14ac:dyDescent="0.3">
      <c r="B45" s="156" t="s">
        <v>554</v>
      </c>
      <c r="C45" s="134"/>
      <c r="D45" s="134"/>
      <c r="E45" s="134"/>
      <c r="F45" s="81"/>
      <c r="G45" s="134"/>
      <c r="H45" s="134"/>
      <c r="I45" s="134"/>
    </row>
    <row r="46" spans="2:12" x14ac:dyDescent="0.3">
      <c r="B46" s="156" t="s">
        <v>1118</v>
      </c>
      <c r="C46" s="134"/>
      <c r="D46" s="134"/>
      <c r="E46" s="134"/>
      <c r="F46" s="81"/>
      <c r="G46" s="134"/>
      <c r="H46" s="134"/>
      <c r="I46" s="134"/>
    </row>
    <row r="47" spans="2:12" ht="24" x14ac:dyDescent="0.3">
      <c r="B47" s="156" t="s">
        <v>1119</v>
      </c>
      <c r="C47" s="134"/>
      <c r="D47" s="134"/>
      <c r="E47" s="134"/>
      <c r="F47" s="81"/>
      <c r="G47" s="134"/>
      <c r="H47" s="134"/>
      <c r="I47" s="134"/>
    </row>
    <row r="48" spans="2:12" ht="24" x14ac:dyDescent="0.3">
      <c r="B48" s="156" t="s">
        <v>1120</v>
      </c>
      <c r="C48" s="134"/>
      <c r="D48" s="134"/>
      <c r="E48" s="134"/>
      <c r="F48" s="81"/>
      <c r="G48" s="134"/>
      <c r="H48" s="134"/>
      <c r="I48" s="134"/>
    </row>
    <row r="49" spans="2:9" x14ac:dyDescent="0.3">
      <c r="B49" s="156" t="s">
        <v>1121</v>
      </c>
      <c r="C49" s="134"/>
      <c r="D49" s="134"/>
      <c r="E49" s="134"/>
      <c r="F49" s="81"/>
      <c r="G49" s="134"/>
      <c r="H49" s="134"/>
      <c r="I49" s="134"/>
    </row>
    <row r="50" spans="2:9" x14ac:dyDescent="0.3">
      <c r="B50" s="156" t="s">
        <v>1122</v>
      </c>
      <c r="C50" s="134"/>
      <c r="D50" s="134"/>
      <c r="E50" s="134"/>
      <c r="F50" s="81"/>
      <c r="G50" s="135"/>
      <c r="H50" s="134"/>
      <c r="I50" s="134"/>
    </row>
    <row r="51" spans="2:9" x14ac:dyDescent="0.3">
      <c r="B51" s="81" t="s">
        <v>1446</v>
      </c>
      <c r="C51" s="134"/>
      <c r="D51" s="134"/>
      <c r="E51" s="134"/>
      <c r="F51" s="81"/>
      <c r="G51" s="134"/>
      <c r="H51" s="134"/>
      <c r="I51" s="134"/>
    </row>
    <row r="52" spans="2:9" x14ac:dyDescent="0.3">
      <c r="B52" s="156" t="s">
        <v>1124</v>
      </c>
      <c r="C52" s="134"/>
      <c r="D52" s="134"/>
      <c r="E52" s="134"/>
      <c r="F52" s="81"/>
      <c r="G52" s="134"/>
      <c r="H52" s="134"/>
      <c r="I52" s="134"/>
    </row>
    <row r="53" spans="2:9" ht="17.25" thickBot="1" x14ac:dyDescent="0.35">
      <c r="B53" s="80"/>
      <c r="C53" s="136"/>
      <c r="D53" s="137"/>
      <c r="E53" s="136"/>
      <c r="F53" s="138"/>
      <c r="G53" s="136"/>
      <c r="H53" s="137"/>
      <c r="I53" s="136"/>
    </row>
    <row r="54" spans="2:9" ht="17.25" thickBot="1" x14ac:dyDescent="0.35">
      <c r="B54" s="82"/>
      <c r="C54" s="139"/>
      <c r="D54" s="84"/>
      <c r="E54" s="142"/>
      <c r="F54" s="85"/>
      <c r="G54" s="83">
        <v>6260</v>
      </c>
      <c r="H54" s="84"/>
      <c r="I54" s="139"/>
    </row>
    <row r="55" spans="2:9" ht="17.25" thickTop="1" x14ac:dyDescent="0.3"/>
  </sheetData>
  <mergeCells count="23">
    <mergeCell ref="C38:I38"/>
    <mergeCell ref="C39:E39"/>
    <mergeCell ref="G39:I39"/>
    <mergeCell ref="C20:I20"/>
    <mergeCell ref="C21:G21"/>
    <mergeCell ref="H22:H23"/>
    <mergeCell ref="I22:I23"/>
    <mergeCell ref="B22:B23"/>
    <mergeCell ref="C22:C23"/>
    <mergeCell ref="D22:D23"/>
    <mergeCell ref="F22:F23"/>
    <mergeCell ref="G22:G23"/>
    <mergeCell ref="K4:K5"/>
    <mergeCell ref="C2:K2"/>
    <mergeCell ref="C3:I3"/>
    <mergeCell ref="B4:B5"/>
    <mergeCell ref="C4:C5"/>
    <mergeCell ref="D4:D5"/>
    <mergeCell ref="E4:E5"/>
    <mergeCell ref="F4:F5"/>
    <mergeCell ref="H4:H5"/>
    <mergeCell ref="I4:I5"/>
    <mergeCell ref="J4:J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AC726-F266-4B04-8852-6F55803F746F}">
  <dimension ref="A1:E9"/>
  <sheetViews>
    <sheetView showGridLines="0" workbookViewId="0">
      <selection activeCell="B6" sqref="B6"/>
    </sheetView>
  </sheetViews>
  <sheetFormatPr defaultRowHeight="15" x14ac:dyDescent="0.25"/>
  <cols>
    <col min="1" max="1" width="18.5703125" bestFit="1" customWidth="1"/>
    <col min="2" max="2" width="18.85546875" bestFit="1" customWidth="1"/>
    <col min="3" max="3" width="23.42578125" customWidth="1"/>
    <col min="4" max="4" width="13.85546875" customWidth="1"/>
    <col min="5" max="5" width="21.140625" bestFit="1" customWidth="1"/>
  </cols>
  <sheetData>
    <row r="1" spans="1:5" x14ac:dyDescent="0.25">
      <c r="A1" s="224" t="s">
        <v>2427</v>
      </c>
      <c r="B1" s="224" t="s">
        <v>2430</v>
      </c>
      <c r="C1" s="224" t="s">
        <v>2431</v>
      </c>
      <c r="D1" s="225">
        <v>1</v>
      </c>
      <c r="E1" s="224" t="s">
        <v>2437</v>
      </c>
    </row>
    <row r="2" spans="1:5" x14ac:dyDescent="0.25">
      <c r="B2" s="224" t="s">
        <v>2428</v>
      </c>
      <c r="C2" s="224" t="s">
        <v>2432</v>
      </c>
      <c r="D2" s="225">
        <v>1000</v>
      </c>
      <c r="E2" s="224" t="s">
        <v>1255</v>
      </c>
    </row>
    <row r="5" spans="1:5" x14ac:dyDescent="0.25">
      <c r="A5" s="224" t="s">
        <v>2433</v>
      </c>
      <c r="B5" s="226" t="str">
        <f>INDEX($C$1:$C$2,MATCH(BP!$C$3,$B$1:$B$2,0))</f>
        <v>[Saldo Final]</v>
      </c>
    </row>
    <row r="6" spans="1:5" x14ac:dyDescent="0.25">
      <c r="A6" s="224" t="s">
        <v>2434</v>
      </c>
      <c r="B6" s="226">
        <f>INDEX($D$1:$D$2,MATCH(BP!$C$3,$B$1:$B$2,0))</f>
        <v>1</v>
      </c>
    </row>
    <row r="7" spans="1:5" x14ac:dyDescent="0.25">
      <c r="A7" s="224" t="s">
        <v>2435</v>
      </c>
      <c r="B7" s="226" t="str">
        <f>INDEX($E$1:$E$2,MATCH(BP!$C$3,$B$1:$B$2,0))</f>
        <v>(em reais)</v>
      </c>
    </row>
    <row r="8" spans="1:5" x14ac:dyDescent="0.25">
      <c r="A8" s="224" t="s">
        <v>2387</v>
      </c>
      <c r="B8" s="226">
        <f>MATCH(B5,$C$1:$C$2,0)-1</f>
        <v>0</v>
      </c>
    </row>
    <row r="9" spans="1:5" x14ac:dyDescent="0.25">
      <c r="A9" s="224" t="s">
        <v>2436</v>
      </c>
      <c r="B9" s="226">
        <f>CHOOSE(MATCH(B5,$C$1:$C$2,0),2,0)</f>
        <v>2</v>
      </c>
    </row>
  </sheetData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72C2A-53D6-4569-A441-1B77C08EA0CF}">
  <dimension ref="G3:AE4"/>
  <sheetViews>
    <sheetView zoomScale="90" zoomScaleNormal="90" workbookViewId="0">
      <selection activeCell="B7" sqref="B7"/>
    </sheetView>
  </sheetViews>
  <sheetFormatPr defaultRowHeight="15" x14ac:dyDescent="0.25"/>
  <cols>
    <col min="1" max="1" width="11.5703125" bestFit="1" customWidth="1"/>
    <col min="2" max="2" width="50.140625" bestFit="1" customWidth="1"/>
    <col min="3" max="3" width="6.85546875" bestFit="1" customWidth="1"/>
    <col min="4" max="4" width="16.42578125" bestFit="1" customWidth="1"/>
    <col min="5" max="5" width="16.140625" bestFit="1" customWidth="1"/>
    <col min="6" max="6" width="30.7109375" bestFit="1" customWidth="1"/>
    <col min="7" max="7" width="18.42578125" bestFit="1" customWidth="1"/>
    <col min="8" max="8" width="16.140625" style="1" bestFit="1" customWidth="1"/>
    <col min="9" max="9" width="16.140625" bestFit="1" customWidth="1"/>
    <col min="10" max="10" width="15.7109375" bestFit="1" customWidth="1"/>
    <col min="11" max="11" width="19.7109375" bestFit="1" customWidth="1"/>
    <col min="12" max="12" width="19.85546875" bestFit="1" customWidth="1"/>
    <col min="13" max="13" width="43.140625" bestFit="1" customWidth="1"/>
    <col min="14" max="14" width="36.5703125" bestFit="1" customWidth="1"/>
    <col min="15" max="15" width="53.7109375" bestFit="1" customWidth="1"/>
    <col min="16" max="16" width="30.85546875" bestFit="1" customWidth="1"/>
    <col min="17" max="17" width="14" bestFit="1" customWidth="1"/>
    <col min="18" max="19" width="13.28515625" bestFit="1" customWidth="1"/>
    <col min="20" max="20" width="15.7109375" bestFit="1" customWidth="1"/>
    <col min="21" max="21" width="18.42578125" bestFit="1" customWidth="1"/>
    <col min="22" max="22" width="19.85546875" customWidth="1"/>
    <col min="23" max="23" width="48.85546875" bestFit="1" customWidth="1"/>
    <col min="24" max="24" width="41.7109375" bestFit="1" customWidth="1"/>
    <col min="25" max="25" width="52.28515625" bestFit="1" customWidth="1"/>
    <col min="26" max="26" width="48.85546875" bestFit="1" customWidth="1"/>
    <col min="27" max="27" width="41.7109375" bestFit="1" customWidth="1"/>
    <col min="28" max="28" width="52.28515625" bestFit="1" customWidth="1"/>
    <col min="29" max="29" width="19.85546875" bestFit="1" customWidth="1"/>
    <col min="30" max="30" width="48.85546875" style="52" bestFit="1" customWidth="1"/>
    <col min="31" max="31" width="41.7109375" style="52" bestFit="1" customWidth="1"/>
    <col min="32" max="32" width="52.28515625" bestFit="1" customWidth="1"/>
  </cols>
  <sheetData>
    <row r="3" spans="7:7" x14ac:dyDescent="0.25">
      <c r="G3" s="63"/>
    </row>
    <row r="4" spans="7:7" x14ac:dyDescent="0.25">
      <c r="G4" s="6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C5BE5-32BA-4BD3-9FCB-1B1F66A6FDC2}">
  <dimension ref="A1"/>
  <sheetViews>
    <sheetView showGridLines="0" workbookViewId="0">
      <selection activeCell="D19" sqref="D19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0739C-0545-4EF9-AF57-FD279E029B16}">
  <dimension ref="G1:AE3896"/>
  <sheetViews>
    <sheetView zoomScale="80" zoomScaleNormal="80" workbookViewId="0">
      <selection sqref="A1:XFD3"/>
    </sheetView>
  </sheetViews>
  <sheetFormatPr defaultRowHeight="15" x14ac:dyDescent="0.25"/>
  <cols>
    <col min="1" max="1" width="11.5703125" bestFit="1" customWidth="1"/>
    <col min="2" max="2" width="55.85546875" bestFit="1" customWidth="1"/>
    <col min="3" max="3" width="7.28515625" bestFit="1" customWidth="1"/>
    <col min="4" max="4" width="16.7109375" bestFit="1" customWidth="1"/>
    <col min="5" max="5" width="16.42578125" bestFit="1" customWidth="1"/>
    <col min="6" max="6" width="32.28515625" bestFit="1" customWidth="1"/>
    <col min="7" max="7" width="18.7109375" bestFit="1" customWidth="1"/>
    <col min="8" max="8" width="16.28515625" style="1" bestFit="1" customWidth="1"/>
    <col min="9" max="9" width="16.28515625" bestFit="1" customWidth="1"/>
    <col min="10" max="10" width="15.85546875" bestFit="1" customWidth="1"/>
    <col min="11" max="11" width="19.140625" bestFit="1" customWidth="1"/>
    <col min="12" max="12" width="20.7109375" bestFit="1" customWidth="1"/>
    <col min="13" max="13" width="48.5703125" bestFit="1" customWidth="1"/>
    <col min="14" max="14" width="40.28515625" bestFit="1" customWidth="1"/>
    <col min="15" max="15" width="53.7109375" bestFit="1" customWidth="1"/>
    <col min="16" max="16" width="30.85546875" bestFit="1" customWidth="1"/>
    <col min="17" max="17" width="14" bestFit="1" customWidth="1"/>
    <col min="18" max="19" width="13.28515625" bestFit="1" customWidth="1"/>
    <col min="20" max="20" width="15.7109375" bestFit="1" customWidth="1"/>
    <col min="21" max="21" width="18.42578125" bestFit="1" customWidth="1"/>
    <col min="22" max="22" width="19.85546875" customWidth="1"/>
    <col min="23" max="23" width="48.85546875" bestFit="1" customWidth="1"/>
    <col min="24" max="24" width="41.7109375" bestFit="1" customWidth="1"/>
    <col min="25" max="25" width="52.28515625" bestFit="1" customWidth="1"/>
    <col min="26" max="26" width="48.85546875" bestFit="1" customWidth="1"/>
    <col min="27" max="27" width="41.7109375" bestFit="1" customWidth="1"/>
    <col min="28" max="28" width="52.28515625" bestFit="1" customWidth="1"/>
    <col min="29" max="29" width="19.85546875" bestFit="1" customWidth="1"/>
    <col min="30" max="30" width="48.85546875" style="52" bestFit="1" customWidth="1"/>
    <col min="31" max="31" width="41.7109375" style="52" bestFit="1" customWidth="1"/>
    <col min="32" max="32" width="52.28515625" bestFit="1" customWidth="1"/>
  </cols>
  <sheetData>
    <row r="1" spans="7:31" x14ac:dyDescent="0.25">
      <c r="AD1"/>
      <c r="AE1"/>
    </row>
    <row r="2" spans="7:31" x14ac:dyDescent="0.25">
      <c r="J2" s="63"/>
      <c r="AD2"/>
      <c r="AE2"/>
    </row>
    <row r="3" spans="7:31" x14ac:dyDescent="0.25">
      <c r="G3" s="63"/>
      <c r="AD3"/>
      <c r="AE3"/>
    </row>
    <row r="4" spans="7:31" x14ac:dyDescent="0.25">
      <c r="G4" s="63"/>
      <c r="AD4"/>
      <c r="AE4"/>
    </row>
    <row r="5" spans="7:31" x14ac:dyDescent="0.25">
      <c r="AD5"/>
      <c r="AE5"/>
    </row>
    <row r="6" spans="7:31" x14ac:dyDescent="0.25">
      <c r="AD6"/>
      <c r="AE6"/>
    </row>
    <row r="7" spans="7:31" x14ac:dyDescent="0.25">
      <c r="AD7"/>
      <c r="AE7"/>
    </row>
    <row r="8" spans="7:31" x14ac:dyDescent="0.25">
      <c r="AD8"/>
      <c r="AE8"/>
    </row>
    <row r="9" spans="7:31" x14ac:dyDescent="0.25">
      <c r="AD9"/>
      <c r="AE9"/>
    </row>
    <row r="10" spans="7:31" x14ac:dyDescent="0.25">
      <c r="AD10"/>
      <c r="AE10"/>
    </row>
    <row r="11" spans="7:31" x14ac:dyDescent="0.25">
      <c r="AD11"/>
      <c r="AE11"/>
    </row>
    <row r="12" spans="7:31" x14ac:dyDescent="0.25">
      <c r="AD12"/>
      <c r="AE12"/>
    </row>
    <row r="13" spans="7:31" x14ac:dyDescent="0.25">
      <c r="AD13"/>
      <c r="AE13"/>
    </row>
    <row r="14" spans="7:31" x14ac:dyDescent="0.25">
      <c r="AD14"/>
      <c r="AE14"/>
    </row>
    <row r="15" spans="7:31" ht="14.25" customHeight="1" x14ac:dyDescent="0.25">
      <c r="AD15"/>
      <c r="AE15"/>
    </row>
    <row r="16" spans="7:31" x14ac:dyDescent="0.25">
      <c r="AD16"/>
      <c r="AE16"/>
    </row>
    <row r="17" spans="30:31" x14ac:dyDescent="0.25">
      <c r="AD17"/>
      <c r="AE17"/>
    </row>
    <row r="18" spans="30:31" x14ac:dyDescent="0.25">
      <c r="AD18"/>
      <c r="AE18"/>
    </row>
    <row r="19" spans="30:31" x14ac:dyDescent="0.25">
      <c r="AD19"/>
      <c r="AE19"/>
    </row>
    <row r="20" spans="30:31" x14ac:dyDescent="0.25">
      <c r="AD20"/>
      <c r="AE20"/>
    </row>
    <row r="21" spans="30:31" x14ac:dyDescent="0.25">
      <c r="AD21"/>
      <c r="AE21"/>
    </row>
    <row r="22" spans="30:31" x14ac:dyDescent="0.25">
      <c r="AD22"/>
      <c r="AE22"/>
    </row>
    <row r="23" spans="30:31" x14ac:dyDescent="0.25">
      <c r="AD23"/>
      <c r="AE23"/>
    </row>
    <row r="24" spans="30:31" x14ac:dyDescent="0.25">
      <c r="AD24"/>
      <c r="AE24"/>
    </row>
    <row r="25" spans="30:31" x14ac:dyDescent="0.25">
      <c r="AD25"/>
      <c r="AE25"/>
    </row>
    <row r="26" spans="30:31" x14ac:dyDescent="0.25">
      <c r="AD26"/>
      <c r="AE26"/>
    </row>
    <row r="27" spans="30:31" x14ac:dyDescent="0.25">
      <c r="AD27"/>
      <c r="AE27"/>
    </row>
    <row r="28" spans="30:31" x14ac:dyDescent="0.25">
      <c r="AD28"/>
      <c r="AE28"/>
    </row>
    <row r="29" spans="30:31" x14ac:dyDescent="0.25">
      <c r="AD29"/>
      <c r="AE29"/>
    </row>
    <row r="30" spans="30:31" x14ac:dyDescent="0.25">
      <c r="AD30"/>
      <c r="AE30"/>
    </row>
    <row r="31" spans="30:31" x14ac:dyDescent="0.25">
      <c r="AD31"/>
      <c r="AE31"/>
    </row>
    <row r="32" spans="30:31" x14ac:dyDescent="0.25">
      <c r="AD32"/>
      <c r="AE32"/>
    </row>
    <row r="33" spans="30:31" x14ac:dyDescent="0.25">
      <c r="AD33"/>
      <c r="AE33"/>
    </row>
    <row r="34" spans="30:31" x14ac:dyDescent="0.25">
      <c r="AD34"/>
      <c r="AE34"/>
    </row>
    <row r="35" spans="30:31" x14ac:dyDescent="0.25">
      <c r="AD35"/>
      <c r="AE35"/>
    </row>
    <row r="36" spans="30:31" x14ac:dyDescent="0.25">
      <c r="AD36"/>
      <c r="AE36"/>
    </row>
    <row r="37" spans="30:31" x14ac:dyDescent="0.25">
      <c r="AD37"/>
      <c r="AE37"/>
    </row>
    <row r="38" spans="30:31" x14ac:dyDescent="0.25">
      <c r="AD38"/>
      <c r="AE38"/>
    </row>
    <row r="39" spans="30:31" x14ac:dyDescent="0.25">
      <c r="AD39"/>
      <c r="AE39"/>
    </row>
    <row r="40" spans="30:31" x14ac:dyDescent="0.25">
      <c r="AD40"/>
      <c r="AE40"/>
    </row>
    <row r="41" spans="30:31" x14ac:dyDescent="0.25">
      <c r="AD41"/>
      <c r="AE41"/>
    </row>
    <row r="42" spans="30:31" x14ac:dyDescent="0.25">
      <c r="AD42"/>
      <c r="AE42"/>
    </row>
    <row r="43" spans="30:31" x14ac:dyDescent="0.25">
      <c r="AD43"/>
      <c r="AE43"/>
    </row>
    <row r="44" spans="30:31" x14ac:dyDescent="0.25">
      <c r="AD44"/>
      <c r="AE44"/>
    </row>
    <row r="45" spans="30:31" x14ac:dyDescent="0.25">
      <c r="AD45"/>
      <c r="AE45"/>
    </row>
    <row r="46" spans="30:31" x14ac:dyDescent="0.25">
      <c r="AD46"/>
      <c r="AE46"/>
    </row>
    <row r="47" spans="30:31" x14ac:dyDescent="0.25">
      <c r="AD47"/>
      <c r="AE47"/>
    </row>
    <row r="48" spans="30:31" x14ac:dyDescent="0.25">
      <c r="AD48"/>
      <c r="AE48"/>
    </row>
    <row r="49" spans="30:31" x14ac:dyDescent="0.25">
      <c r="AD49"/>
      <c r="AE49"/>
    </row>
    <row r="50" spans="30:31" x14ac:dyDescent="0.25">
      <c r="AD50"/>
      <c r="AE50"/>
    </row>
    <row r="51" spans="30:31" x14ac:dyDescent="0.25">
      <c r="AD51"/>
      <c r="AE51"/>
    </row>
    <row r="52" spans="30:31" x14ac:dyDescent="0.25">
      <c r="AD52"/>
      <c r="AE52"/>
    </row>
    <row r="53" spans="30:31" x14ac:dyDescent="0.25">
      <c r="AD53"/>
      <c r="AE53"/>
    </row>
    <row r="54" spans="30:31" x14ac:dyDescent="0.25">
      <c r="AD54"/>
      <c r="AE54"/>
    </row>
    <row r="55" spans="30:31" x14ac:dyDescent="0.25">
      <c r="AD55"/>
      <c r="AE55"/>
    </row>
    <row r="56" spans="30:31" x14ac:dyDescent="0.25">
      <c r="AD56"/>
      <c r="AE56"/>
    </row>
    <row r="57" spans="30:31" x14ac:dyDescent="0.25">
      <c r="AD57"/>
      <c r="AE57"/>
    </row>
    <row r="58" spans="30:31" x14ac:dyDescent="0.25">
      <c r="AD58"/>
      <c r="AE58"/>
    </row>
    <row r="59" spans="30:31" x14ac:dyDescent="0.25">
      <c r="AD59"/>
      <c r="AE59"/>
    </row>
    <row r="60" spans="30:31" x14ac:dyDescent="0.25">
      <c r="AD60"/>
      <c r="AE60"/>
    </row>
    <row r="61" spans="30:31" x14ac:dyDescent="0.25">
      <c r="AD61"/>
      <c r="AE61"/>
    </row>
    <row r="62" spans="30:31" x14ac:dyDescent="0.25">
      <c r="AD62"/>
      <c r="AE62"/>
    </row>
    <row r="63" spans="30:31" x14ac:dyDescent="0.25">
      <c r="AD63"/>
      <c r="AE63"/>
    </row>
    <row r="64" spans="30:31" x14ac:dyDescent="0.25">
      <c r="AD64"/>
      <c r="AE64"/>
    </row>
    <row r="65" spans="30:31" x14ac:dyDescent="0.25">
      <c r="AD65"/>
      <c r="AE65"/>
    </row>
    <row r="66" spans="30:31" x14ac:dyDescent="0.25">
      <c r="AD66"/>
      <c r="AE66"/>
    </row>
    <row r="67" spans="30:31" x14ac:dyDescent="0.25">
      <c r="AD67"/>
      <c r="AE67"/>
    </row>
    <row r="68" spans="30:31" x14ac:dyDescent="0.25">
      <c r="AD68"/>
      <c r="AE68"/>
    </row>
    <row r="69" spans="30:31" x14ac:dyDescent="0.25">
      <c r="AD69"/>
      <c r="AE69"/>
    </row>
    <row r="70" spans="30:31" x14ac:dyDescent="0.25">
      <c r="AD70"/>
      <c r="AE70"/>
    </row>
    <row r="71" spans="30:31" x14ac:dyDescent="0.25">
      <c r="AD71"/>
      <c r="AE71"/>
    </row>
    <row r="72" spans="30:31" x14ac:dyDescent="0.25">
      <c r="AD72"/>
      <c r="AE72"/>
    </row>
    <row r="73" spans="30:31" x14ac:dyDescent="0.25">
      <c r="AD73"/>
      <c r="AE73"/>
    </row>
    <row r="74" spans="30:31" x14ac:dyDescent="0.25">
      <c r="AD74"/>
      <c r="AE74"/>
    </row>
    <row r="75" spans="30:31" x14ac:dyDescent="0.25">
      <c r="AD75"/>
      <c r="AE75"/>
    </row>
    <row r="76" spans="30:31" x14ac:dyDescent="0.25">
      <c r="AD76"/>
      <c r="AE76"/>
    </row>
    <row r="77" spans="30:31" x14ac:dyDescent="0.25">
      <c r="AD77"/>
      <c r="AE77"/>
    </row>
    <row r="78" spans="30:31" x14ac:dyDescent="0.25">
      <c r="AD78"/>
      <c r="AE78"/>
    </row>
    <row r="79" spans="30:31" x14ac:dyDescent="0.25">
      <c r="AD79"/>
      <c r="AE79"/>
    </row>
    <row r="80" spans="30:31" x14ac:dyDescent="0.25">
      <c r="AD80"/>
      <c r="AE80"/>
    </row>
    <row r="81" spans="30:31" x14ac:dyDescent="0.25">
      <c r="AD81"/>
      <c r="AE81"/>
    </row>
    <row r="82" spans="30:31" x14ac:dyDescent="0.25">
      <c r="AD82"/>
      <c r="AE82"/>
    </row>
    <row r="83" spans="30:31" x14ac:dyDescent="0.25">
      <c r="AD83"/>
      <c r="AE83"/>
    </row>
    <row r="84" spans="30:31" x14ac:dyDescent="0.25">
      <c r="AD84"/>
      <c r="AE84"/>
    </row>
    <row r="85" spans="30:31" x14ac:dyDescent="0.25">
      <c r="AD85"/>
      <c r="AE85"/>
    </row>
    <row r="86" spans="30:31" x14ac:dyDescent="0.25">
      <c r="AD86"/>
      <c r="AE86"/>
    </row>
    <row r="87" spans="30:31" x14ac:dyDescent="0.25">
      <c r="AD87"/>
      <c r="AE87"/>
    </row>
    <row r="88" spans="30:31" x14ac:dyDescent="0.25">
      <c r="AD88"/>
      <c r="AE88"/>
    </row>
    <row r="89" spans="30:31" x14ac:dyDescent="0.25">
      <c r="AD89"/>
      <c r="AE89"/>
    </row>
    <row r="90" spans="30:31" x14ac:dyDescent="0.25">
      <c r="AD90"/>
      <c r="AE90"/>
    </row>
    <row r="91" spans="30:31" x14ac:dyDescent="0.25">
      <c r="AD91"/>
      <c r="AE91"/>
    </row>
    <row r="92" spans="30:31" x14ac:dyDescent="0.25">
      <c r="AD92"/>
      <c r="AE92"/>
    </row>
    <row r="93" spans="30:31" x14ac:dyDescent="0.25">
      <c r="AD93"/>
      <c r="AE93"/>
    </row>
    <row r="94" spans="30:31" x14ac:dyDescent="0.25">
      <c r="AD94"/>
      <c r="AE94"/>
    </row>
    <row r="95" spans="30:31" x14ac:dyDescent="0.25">
      <c r="AD95"/>
      <c r="AE95"/>
    </row>
    <row r="96" spans="30:31" x14ac:dyDescent="0.25">
      <c r="AD96"/>
      <c r="AE96"/>
    </row>
    <row r="97" spans="30:31" x14ac:dyDescent="0.25">
      <c r="AD97"/>
      <c r="AE97"/>
    </row>
    <row r="98" spans="30:31" x14ac:dyDescent="0.25">
      <c r="AD98"/>
      <c r="AE98"/>
    </row>
    <row r="99" spans="30:31" x14ac:dyDescent="0.25">
      <c r="AD99"/>
      <c r="AE99"/>
    </row>
    <row r="100" spans="30:31" x14ac:dyDescent="0.25">
      <c r="AD100"/>
      <c r="AE100"/>
    </row>
    <row r="101" spans="30:31" x14ac:dyDescent="0.25">
      <c r="AD101"/>
      <c r="AE101"/>
    </row>
    <row r="102" spans="30:31" x14ac:dyDescent="0.25">
      <c r="AD102"/>
      <c r="AE102"/>
    </row>
    <row r="103" spans="30:31" x14ac:dyDescent="0.25">
      <c r="AD103"/>
      <c r="AE103"/>
    </row>
    <row r="104" spans="30:31" x14ac:dyDescent="0.25">
      <c r="AD104"/>
      <c r="AE104"/>
    </row>
    <row r="105" spans="30:31" x14ac:dyDescent="0.25">
      <c r="AD105"/>
      <c r="AE105"/>
    </row>
    <row r="106" spans="30:31" x14ac:dyDescent="0.25">
      <c r="AD106"/>
      <c r="AE106"/>
    </row>
    <row r="107" spans="30:31" x14ac:dyDescent="0.25">
      <c r="AD107"/>
      <c r="AE107"/>
    </row>
    <row r="108" spans="30:31" x14ac:dyDescent="0.25">
      <c r="AD108"/>
      <c r="AE108"/>
    </row>
    <row r="109" spans="30:31" x14ac:dyDescent="0.25">
      <c r="AD109"/>
      <c r="AE109"/>
    </row>
    <row r="110" spans="30:31" x14ac:dyDescent="0.25">
      <c r="AD110"/>
      <c r="AE110"/>
    </row>
    <row r="111" spans="30:31" x14ac:dyDescent="0.25">
      <c r="AD111"/>
      <c r="AE111"/>
    </row>
    <row r="112" spans="30:31" x14ac:dyDescent="0.25">
      <c r="AD112"/>
      <c r="AE112"/>
    </row>
    <row r="113" spans="30:31" x14ac:dyDescent="0.25">
      <c r="AD113"/>
      <c r="AE113"/>
    </row>
    <row r="114" spans="30:31" x14ac:dyDescent="0.25">
      <c r="AD114"/>
      <c r="AE114"/>
    </row>
    <row r="115" spans="30:31" x14ac:dyDescent="0.25">
      <c r="AD115"/>
      <c r="AE115"/>
    </row>
    <row r="116" spans="30:31" x14ac:dyDescent="0.25">
      <c r="AD116"/>
      <c r="AE116"/>
    </row>
    <row r="117" spans="30:31" x14ac:dyDescent="0.25">
      <c r="AD117"/>
      <c r="AE117"/>
    </row>
    <row r="118" spans="30:31" x14ac:dyDescent="0.25">
      <c r="AD118"/>
      <c r="AE118"/>
    </row>
    <row r="119" spans="30:31" x14ac:dyDescent="0.25">
      <c r="AD119"/>
      <c r="AE119"/>
    </row>
    <row r="120" spans="30:31" x14ac:dyDescent="0.25">
      <c r="AD120"/>
      <c r="AE120"/>
    </row>
    <row r="121" spans="30:31" x14ac:dyDescent="0.25">
      <c r="AD121"/>
      <c r="AE121"/>
    </row>
    <row r="122" spans="30:31" x14ac:dyDescent="0.25">
      <c r="AD122"/>
      <c r="AE122"/>
    </row>
    <row r="123" spans="30:31" x14ac:dyDescent="0.25">
      <c r="AD123"/>
      <c r="AE123"/>
    </row>
    <row r="124" spans="30:31" x14ac:dyDescent="0.25">
      <c r="AD124"/>
      <c r="AE124"/>
    </row>
    <row r="125" spans="30:31" x14ac:dyDescent="0.25">
      <c r="AD125"/>
      <c r="AE125"/>
    </row>
    <row r="126" spans="30:31" x14ac:dyDescent="0.25">
      <c r="AD126"/>
      <c r="AE126"/>
    </row>
    <row r="127" spans="30:31" x14ac:dyDescent="0.25">
      <c r="AD127"/>
      <c r="AE127"/>
    </row>
    <row r="128" spans="30:31" x14ac:dyDescent="0.25">
      <c r="AD128"/>
      <c r="AE128"/>
    </row>
    <row r="129" spans="30:31" x14ac:dyDescent="0.25">
      <c r="AD129"/>
      <c r="AE129"/>
    </row>
    <row r="130" spans="30:31" x14ac:dyDescent="0.25">
      <c r="AD130"/>
      <c r="AE130"/>
    </row>
    <row r="131" spans="30:31" x14ac:dyDescent="0.25">
      <c r="AD131"/>
      <c r="AE131"/>
    </row>
    <row r="132" spans="30:31" x14ac:dyDescent="0.25">
      <c r="AD132"/>
      <c r="AE132"/>
    </row>
    <row r="133" spans="30:31" x14ac:dyDescent="0.25">
      <c r="AD133"/>
      <c r="AE133"/>
    </row>
    <row r="134" spans="30:31" x14ac:dyDescent="0.25">
      <c r="AD134"/>
      <c r="AE134"/>
    </row>
    <row r="135" spans="30:31" x14ac:dyDescent="0.25">
      <c r="AD135"/>
      <c r="AE135"/>
    </row>
    <row r="136" spans="30:31" x14ac:dyDescent="0.25">
      <c r="AD136"/>
      <c r="AE136"/>
    </row>
    <row r="137" spans="30:31" x14ac:dyDescent="0.25">
      <c r="AD137"/>
      <c r="AE137"/>
    </row>
    <row r="138" spans="30:31" x14ac:dyDescent="0.25">
      <c r="AD138"/>
      <c r="AE138"/>
    </row>
    <row r="139" spans="30:31" x14ac:dyDescent="0.25">
      <c r="AD139"/>
      <c r="AE139"/>
    </row>
    <row r="140" spans="30:31" x14ac:dyDescent="0.25">
      <c r="AD140"/>
      <c r="AE140"/>
    </row>
    <row r="141" spans="30:31" x14ac:dyDescent="0.25">
      <c r="AD141"/>
      <c r="AE141"/>
    </row>
    <row r="142" spans="30:31" x14ac:dyDescent="0.25">
      <c r="AD142"/>
      <c r="AE142"/>
    </row>
    <row r="143" spans="30:31" x14ac:dyDescent="0.25">
      <c r="AD143"/>
      <c r="AE143"/>
    </row>
    <row r="144" spans="30:31" x14ac:dyDescent="0.25">
      <c r="AD144"/>
      <c r="AE144"/>
    </row>
    <row r="145" spans="30:31" x14ac:dyDescent="0.25">
      <c r="AD145"/>
      <c r="AE145"/>
    </row>
    <row r="146" spans="30:31" x14ac:dyDescent="0.25">
      <c r="AD146"/>
      <c r="AE146"/>
    </row>
    <row r="147" spans="30:31" x14ac:dyDescent="0.25">
      <c r="AD147"/>
      <c r="AE147"/>
    </row>
    <row r="148" spans="30:31" x14ac:dyDescent="0.25">
      <c r="AD148"/>
      <c r="AE148"/>
    </row>
    <row r="149" spans="30:31" x14ac:dyDescent="0.25">
      <c r="AD149"/>
      <c r="AE149"/>
    </row>
    <row r="150" spans="30:31" x14ac:dyDescent="0.25">
      <c r="AD150"/>
      <c r="AE150"/>
    </row>
    <row r="151" spans="30:31" x14ac:dyDescent="0.25">
      <c r="AD151"/>
      <c r="AE151"/>
    </row>
    <row r="152" spans="30:31" x14ac:dyDescent="0.25">
      <c r="AD152"/>
      <c r="AE152"/>
    </row>
    <row r="153" spans="30:31" x14ac:dyDescent="0.25">
      <c r="AD153"/>
      <c r="AE153"/>
    </row>
    <row r="154" spans="30:31" x14ac:dyDescent="0.25">
      <c r="AD154"/>
      <c r="AE154"/>
    </row>
    <row r="155" spans="30:31" x14ac:dyDescent="0.25">
      <c r="AD155"/>
      <c r="AE155"/>
    </row>
    <row r="156" spans="30:31" x14ac:dyDescent="0.25">
      <c r="AD156"/>
      <c r="AE156"/>
    </row>
    <row r="157" spans="30:31" x14ac:dyDescent="0.25">
      <c r="AD157"/>
      <c r="AE157"/>
    </row>
    <row r="158" spans="30:31" x14ac:dyDescent="0.25">
      <c r="AD158"/>
      <c r="AE158"/>
    </row>
    <row r="159" spans="30:31" x14ac:dyDescent="0.25">
      <c r="AD159"/>
      <c r="AE159"/>
    </row>
    <row r="160" spans="30:31" x14ac:dyDescent="0.25">
      <c r="AD160"/>
      <c r="AE160"/>
    </row>
    <row r="161" spans="30:31" x14ac:dyDescent="0.25">
      <c r="AD161"/>
      <c r="AE161"/>
    </row>
    <row r="162" spans="30:31" x14ac:dyDescent="0.25">
      <c r="AD162"/>
      <c r="AE162"/>
    </row>
    <row r="163" spans="30:31" x14ac:dyDescent="0.25">
      <c r="AD163"/>
      <c r="AE163"/>
    </row>
    <row r="164" spans="30:31" x14ac:dyDescent="0.25">
      <c r="AD164"/>
      <c r="AE164"/>
    </row>
    <row r="165" spans="30:31" x14ac:dyDescent="0.25">
      <c r="AD165"/>
      <c r="AE165"/>
    </row>
    <row r="166" spans="30:31" x14ac:dyDescent="0.25">
      <c r="AD166"/>
      <c r="AE166"/>
    </row>
    <row r="167" spans="30:31" x14ac:dyDescent="0.25">
      <c r="AD167"/>
      <c r="AE167"/>
    </row>
    <row r="168" spans="30:31" x14ac:dyDescent="0.25">
      <c r="AD168"/>
      <c r="AE168"/>
    </row>
    <row r="169" spans="30:31" x14ac:dyDescent="0.25">
      <c r="AD169"/>
      <c r="AE169"/>
    </row>
    <row r="170" spans="30:31" x14ac:dyDescent="0.25">
      <c r="AD170"/>
      <c r="AE170"/>
    </row>
    <row r="171" spans="30:31" x14ac:dyDescent="0.25">
      <c r="AD171"/>
      <c r="AE171"/>
    </row>
    <row r="172" spans="30:31" x14ac:dyDescent="0.25">
      <c r="AD172"/>
      <c r="AE172"/>
    </row>
    <row r="173" spans="30:31" x14ac:dyDescent="0.25">
      <c r="AD173"/>
      <c r="AE173"/>
    </row>
    <row r="174" spans="30:31" x14ac:dyDescent="0.25">
      <c r="AD174"/>
      <c r="AE174"/>
    </row>
    <row r="175" spans="30:31" x14ac:dyDescent="0.25">
      <c r="AD175"/>
      <c r="AE175"/>
    </row>
    <row r="176" spans="30:31" x14ac:dyDescent="0.25">
      <c r="AD176"/>
      <c r="AE176"/>
    </row>
    <row r="177" spans="30:31" x14ac:dyDescent="0.25">
      <c r="AD177"/>
      <c r="AE177"/>
    </row>
    <row r="178" spans="30:31" x14ac:dyDescent="0.25">
      <c r="AD178"/>
      <c r="AE178"/>
    </row>
    <row r="179" spans="30:31" x14ac:dyDescent="0.25">
      <c r="AD179"/>
      <c r="AE179"/>
    </row>
    <row r="180" spans="30:31" x14ac:dyDescent="0.25">
      <c r="AD180"/>
      <c r="AE180"/>
    </row>
    <row r="181" spans="30:31" x14ac:dyDescent="0.25">
      <c r="AD181"/>
      <c r="AE181"/>
    </row>
    <row r="182" spans="30:31" x14ac:dyDescent="0.25">
      <c r="AD182"/>
      <c r="AE182"/>
    </row>
    <row r="183" spans="30:31" x14ac:dyDescent="0.25">
      <c r="AD183"/>
      <c r="AE183"/>
    </row>
    <row r="184" spans="30:31" x14ac:dyDescent="0.25">
      <c r="AD184"/>
      <c r="AE184"/>
    </row>
    <row r="185" spans="30:31" x14ac:dyDescent="0.25">
      <c r="AD185"/>
      <c r="AE185"/>
    </row>
    <row r="186" spans="30:31" x14ac:dyDescent="0.25">
      <c r="AD186"/>
      <c r="AE186"/>
    </row>
    <row r="187" spans="30:31" x14ac:dyDescent="0.25">
      <c r="AD187"/>
      <c r="AE187"/>
    </row>
    <row r="188" spans="30:31" x14ac:dyDescent="0.25">
      <c r="AD188"/>
      <c r="AE188"/>
    </row>
    <row r="189" spans="30:31" x14ac:dyDescent="0.25">
      <c r="AD189"/>
      <c r="AE189"/>
    </row>
    <row r="190" spans="30:31" x14ac:dyDescent="0.25">
      <c r="AD190"/>
      <c r="AE190"/>
    </row>
    <row r="191" spans="30:31" x14ac:dyDescent="0.25">
      <c r="AD191"/>
      <c r="AE191"/>
    </row>
    <row r="192" spans="30:31" x14ac:dyDescent="0.25">
      <c r="AD192"/>
      <c r="AE192"/>
    </row>
    <row r="193" spans="30:31" x14ac:dyDescent="0.25">
      <c r="AD193"/>
      <c r="AE193"/>
    </row>
    <row r="194" spans="30:31" x14ac:dyDescent="0.25">
      <c r="AD194"/>
      <c r="AE194"/>
    </row>
    <row r="195" spans="30:31" x14ac:dyDescent="0.25">
      <c r="AD195"/>
      <c r="AE195"/>
    </row>
    <row r="196" spans="30:31" x14ac:dyDescent="0.25">
      <c r="AD196"/>
      <c r="AE196"/>
    </row>
    <row r="197" spans="30:31" x14ac:dyDescent="0.25">
      <c r="AD197"/>
      <c r="AE197"/>
    </row>
    <row r="198" spans="30:31" x14ac:dyDescent="0.25">
      <c r="AD198"/>
      <c r="AE198"/>
    </row>
    <row r="199" spans="30:31" x14ac:dyDescent="0.25">
      <c r="AD199"/>
      <c r="AE199"/>
    </row>
    <row r="200" spans="30:31" x14ac:dyDescent="0.25">
      <c r="AD200"/>
      <c r="AE200"/>
    </row>
    <row r="201" spans="30:31" x14ac:dyDescent="0.25">
      <c r="AD201"/>
      <c r="AE201"/>
    </row>
    <row r="202" spans="30:31" x14ac:dyDescent="0.25">
      <c r="AD202"/>
      <c r="AE202"/>
    </row>
    <row r="203" spans="30:31" x14ac:dyDescent="0.25">
      <c r="AD203"/>
      <c r="AE203"/>
    </row>
    <row r="204" spans="30:31" x14ac:dyDescent="0.25">
      <c r="AD204"/>
      <c r="AE204"/>
    </row>
    <row r="205" spans="30:31" x14ac:dyDescent="0.25">
      <c r="AD205"/>
      <c r="AE205"/>
    </row>
    <row r="206" spans="30:31" x14ac:dyDescent="0.25">
      <c r="AD206"/>
      <c r="AE206"/>
    </row>
    <row r="207" spans="30:31" x14ac:dyDescent="0.25">
      <c r="AD207"/>
      <c r="AE207"/>
    </row>
    <row r="208" spans="30:31" x14ac:dyDescent="0.25">
      <c r="AD208"/>
      <c r="AE208"/>
    </row>
    <row r="209" spans="30:31" x14ac:dyDescent="0.25">
      <c r="AD209"/>
      <c r="AE209"/>
    </row>
    <row r="210" spans="30:31" x14ac:dyDescent="0.25">
      <c r="AD210"/>
      <c r="AE210"/>
    </row>
    <row r="211" spans="30:31" x14ac:dyDescent="0.25">
      <c r="AD211"/>
      <c r="AE211"/>
    </row>
    <row r="212" spans="30:31" x14ac:dyDescent="0.25">
      <c r="AD212"/>
      <c r="AE212"/>
    </row>
    <row r="213" spans="30:31" x14ac:dyDescent="0.25">
      <c r="AD213"/>
      <c r="AE213"/>
    </row>
    <row r="214" spans="30:31" x14ac:dyDescent="0.25">
      <c r="AD214"/>
      <c r="AE214"/>
    </row>
    <row r="215" spans="30:31" x14ac:dyDescent="0.25">
      <c r="AD215"/>
      <c r="AE215"/>
    </row>
    <row r="216" spans="30:31" x14ac:dyDescent="0.25">
      <c r="AD216"/>
      <c r="AE216"/>
    </row>
    <row r="217" spans="30:31" x14ac:dyDescent="0.25">
      <c r="AD217"/>
      <c r="AE217"/>
    </row>
    <row r="218" spans="30:31" x14ac:dyDescent="0.25">
      <c r="AD218"/>
      <c r="AE218"/>
    </row>
    <row r="219" spans="30:31" x14ac:dyDescent="0.25">
      <c r="AD219"/>
      <c r="AE219"/>
    </row>
    <row r="220" spans="30:31" x14ac:dyDescent="0.25">
      <c r="AD220"/>
      <c r="AE220"/>
    </row>
    <row r="221" spans="30:31" x14ac:dyDescent="0.25">
      <c r="AD221"/>
      <c r="AE221"/>
    </row>
    <row r="222" spans="30:31" x14ac:dyDescent="0.25">
      <c r="AD222"/>
      <c r="AE222"/>
    </row>
    <row r="223" spans="30:31" x14ac:dyDescent="0.25">
      <c r="AD223"/>
      <c r="AE223"/>
    </row>
    <row r="224" spans="30:31" x14ac:dyDescent="0.25">
      <c r="AD224"/>
      <c r="AE224"/>
    </row>
    <row r="225" spans="30:31" x14ac:dyDescent="0.25">
      <c r="AD225"/>
      <c r="AE225"/>
    </row>
    <row r="226" spans="30:31" x14ac:dyDescent="0.25">
      <c r="AD226"/>
      <c r="AE226"/>
    </row>
    <row r="227" spans="30:31" x14ac:dyDescent="0.25">
      <c r="AD227"/>
      <c r="AE227"/>
    </row>
    <row r="228" spans="30:31" x14ac:dyDescent="0.25">
      <c r="AD228"/>
      <c r="AE228"/>
    </row>
    <row r="229" spans="30:31" x14ac:dyDescent="0.25">
      <c r="AD229"/>
      <c r="AE229"/>
    </row>
    <row r="230" spans="30:31" x14ac:dyDescent="0.25">
      <c r="AD230"/>
      <c r="AE230"/>
    </row>
    <row r="231" spans="30:31" x14ac:dyDescent="0.25">
      <c r="AD231"/>
      <c r="AE231"/>
    </row>
    <row r="232" spans="30:31" x14ac:dyDescent="0.25">
      <c r="AD232"/>
      <c r="AE232"/>
    </row>
    <row r="233" spans="30:31" x14ac:dyDescent="0.25">
      <c r="AD233"/>
      <c r="AE233"/>
    </row>
    <row r="234" spans="30:31" x14ac:dyDescent="0.25">
      <c r="AD234"/>
      <c r="AE234"/>
    </row>
    <row r="235" spans="30:31" x14ac:dyDescent="0.25">
      <c r="AD235"/>
      <c r="AE235"/>
    </row>
    <row r="236" spans="30:31" x14ac:dyDescent="0.25">
      <c r="AD236"/>
      <c r="AE236"/>
    </row>
    <row r="237" spans="30:31" x14ac:dyDescent="0.25">
      <c r="AD237"/>
      <c r="AE237"/>
    </row>
    <row r="238" spans="30:31" x14ac:dyDescent="0.25">
      <c r="AD238"/>
      <c r="AE238"/>
    </row>
    <row r="239" spans="30:31" x14ac:dyDescent="0.25">
      <c r="AD239"/>
      <c r="AE239"/>
    </row>
    <row r="240" spans="30:31" x14ac:dyDescent="0.25">
      <c r="AD240"/>
      <c r="AE240"/>
    </row>
    <row r="241" spans="15:31" x14ac:dyDescent="0.25">
      <c r="AD241"/>
      <c r="AE241"/>
    </row>
    <row r="242" spans="15:31" x14ac:dyDescent="0.25">
      <c r="AD242"/>
      <c r="AE242"/>
    </row>
    <row r="243" spans="15:31" x14ac:dyDescent="0.25">
      <c r="O243" s="10"/>
      <c r="AD243"/>
      <c r="AE243"/>
    </row>
    <row r="244" spans="15:31" x14ac:dyDescent="0.25">
      <c r="AD244"/>
      <c r="AE244"/>
    </row>
    <row r="245" spans="15:31" x14ac:dyDescent="0.25">
      <c r="AD245"/>
      <c r="AE245"/>
    </row>
    <row r="246" spans="15:31" x14ac:dyDescent="0.25">
      <c r="AD246"/>
      <c r="AE246"/>
    </row>
    <row r="247" spans="15:31" x14ac:dyDescent="0.25">
      <c r="AD247"/>
      <c r="AE247"/>
    </row>
    <row r="248" spans="15:31" x14ac:dyDescent="0.25">
      <c r="AD248"/>
      <c r="AE248"/>
    </row>
    <row r="249" spans="15:31" x14ac:dyDescent="0.25">
      <c r="AD249"/>
      <c r="AE249"/>
    </row>
    <row r="250" spans="15:31" x14ac:dyDescent="0.25">
      <c r="AD250"/>
      <c r="AE250"/>
    </row>
    <row r="251" spans="15:31" x14ac:dyDescent="0.25">
      <c r="AD251"/>
      <c r="AE251"/>
    </row>
    <row r="252" spans="15:31" x14ac:dyDescent="0.25">
      <c r="AD252"/>
      <c r="AE252"/>
    </row>
    <row r="253" spans="15:31" x14ac:dyDescent="0.25">
      <c r="AD253"/>
      <c r="AE253"/>
    </row>
    <row r="254" spans="15:31" x14ac:dyDescent="0.25">
      <c r="AD254"/>
      <c r="AE254"/>
    </row>
    <row r="255" spans="15:31" x14ac:dyDescent="0.25">
      <c r="AD255"/>
      <c r="AE255"/>
    </row>
    <row r="256" spans="15:31" x14ac:dyDescent="0.25">
      <c r="AD256"/>
      <c r="AE256"/>
    </row>
    <row r="257" spans="30:31" x14ac:dyDescent="0.25">
      <c r="AD257"/>
      <c r="AE257"/>
    </row>
    <row r="258" spans="30:31" x14ac:dyDescent="0.25">
      <c r="AD258"/>
      <c r="AE258"/>
    </row>
    <row r="259" spans="30:31" x14ac:dyDescent="0.25">
      <c r="AD259"/>
      <c r="AE259"/>
    </row>
    <row r="260" spans="30:31" x14ac:dyDescent="0.25">
      <c r="AD260"/>
      <c r="AE260"/>
    </row>
    <row r="261" spans="30:31" x14ac:dyDescent="0.25">
      <c r="AD261"/>
      <c r="AE261"/>
    </row>
    <row r="262" spans="30:31" x14ac:dyDescent="0.25">
      <c r="AD262"/>
      <c r="AE262"/>
    </row>
    <row r="263" spans="30:31" x14ac:dyDescent="0.25">
      <c r="AD263"/>
      <c r="AE263"/>
    </row>
    <row r="264" spans="30:31" x14ac:dyDescent="0.25">
      <c r="AD264"/>
      <c r="AE264"/>
    </row>
    <row r="265" spans="30:31" x14ac:dyDescent="0.25">
      <c r="AD265"/>
      <c r="AE265"/>
    </row>
    <row r="266" spans="30:31" x14ac:dyDescent="0.25">
      <c r="AD266"/>
      <c r="AE266"/>
    </row>
    <row r="267" spans="30:31" x14ac:dyDescent="0.25">
      <c r="AD267"/>
      <c r="AE267"/>
    </row>
    <row r="268" spans="30:31" x14ac:dyDescent="0.25">
      <c r="AD268"/>
      <c r="AE268"/>
    </row>
    <row r="269" spans="30:31" x14ac:dyDescent="0.25">
      <c r="AD269"/>
      <c r="AE269"/>
    </row>
    <row r="270" spans="30:31" x14ac:dyDescent="0.25">
      <c r="AD270"/>
      <c r="AE270"/>
    </row>
    <row r="271" spans="30:31" x14ac:dyDescent="0.25">
      <c r="AD271"/>
      <c r="AE271"/>
    </row>
    <row r="272" spans="30:31" x14ac:dyDescent="0.25">
      <c r="AD272"/>
      <c r="AE272"/>
    </row>
    <row r="273" spans="30:31" x14ac:dyDescent="0.25">
      <c r="AD273"/>
      <c r="AE273"/>
    </row>
    <row r="274" spans="30:31" x14ac:dyDescent="0.25">
      <c r="AD274"/>
      <c r="AE274"/>
    </row>
    <row r="275" spans="30:31" x14ac:dyDescent="0.25">
      <c r="AD275"/>
      <c r="AE275"/>
    </row>
    <row r="276" spans="30:31" x14ac:dyDescent="0.25">
      <c r="AD276"/>
      <c r="AE276"/>
    </row>
    <row r="277" spans="30:31" x14ac:dyDescent="0.25">
      <c r="AD277"/>
      <c r="AE277"/>
    </row>
    <row r="278" spans="30:31" x14ac:dyDescent="0.25">
      <c r="AD278"/>
      <c r="AE278"/>
    </row>
    <row r="279" spans="30:31" x14ac:dyDescent="0.25">
      <c r="AD279"/>
      <c r="AE279"/>
    </row>
    <row r="280" spans="30:31" x14ac:dyDescent="0.25">
      <c r="AD280"/>
      <c r="AE280"/>
    </row>
    <row r="281" spans="30:31" x14ac:dyDescent="0.25">
      <c r="AD281"/>
      <c r="AE281"/>
    </row>
    <row r="282" spans="30:31" x14ac:dyDescent="0.25">
      <c r="AD282"/>
      <c r="AE282"/>
    </row>
    <row r="283" spans="30:31" x14ac:dyDescent="0.25">
      <c r="AD283"/>
      <c r="AE283"/>
    </row>
    <row r="284" spans="30:31" x14ac:dyDescent="0.25">
      <c r="AD284"/>
      <c r="AE284"/>
    </row>
    <row r="285" spans="30:31" x14ac:dyDescent="0.25">
      <c r="AD285"/>
      <c r="AE285"/>
    </row>
    <row r="286" spans="30:31" x14ac:dyDescent="0.25">
      <c r="AD286"/>
      <c r="AE286"/>
    </row>
    <row r="287" spans="30:31" x14ac:dyDescent="0.25">
      <c r="AD287"/>
      <c r="AE287"/>
    </row>
    <row r="288" spans="30:31" x14ac:dyDescent="0.25">
      <c r="AD288"/>
      <c r="AE288"/>
    </row>
    <row r="289" spans="30:31" x14ac:dyDescent="0.25">
      <c r="AD289"/>
      <c r="AE289"/>
    </row>
    <row r="290" spans="30:31" x14ac:dyDescent="0.25">
      <c r="AD290"/>
      <c r="AE290"/>
    </row>
    <row r="291" spans="30:31" x14ac:dyDescent="0.25">
      <c r="AD291"/>
      <c r="AE291"/>
    </row>
    <row r="292" spans="30:31" x14ac:dyDescent="0.25">
      <c r="AD292"/>
      <c r="AE292"/>
    </row>
    <row r="293" spans="30:31" x14ac:dyDescent="0.25">
      <c r="AD293"/>
      <c r="AE293"/>
    </row>
    <row r="294" spans="30:31" x14ac:dyDescent="0.25">
      <c r="AD294"/>
      <c r="AE294"/>
    </row>
    <row r="295" spans="30:31" x14ac:dyDescent="0.25">
      <c r="AD295"/>
      <c r="AE295"/>
    </row>
    <row r="296" spans="30:31" x14ac:dyDescent="0.25">
      <c r="AD296"/>
      <c r="AE296"/>
    </row>
    <row r="297" spans="30:31" x14ac:dyDescent="0.25">
      <c r="AD297"/>
      <c r="AE297"/>
    </row>
    <row r="298" spans="30:31" x14ac:dyDescent="0.25">
      <c r="AD298"/>
      <c r="AE298"/>
    </row>
    <row r="299" spans="30:31" x14ac:dyDescent="0.25">
      <c r="AD299"/>
      <c r="AE299"/>
    </row>
    <row r="300" spans="30:31" x14ac:dyDescent="0.25">
      <c r="AD300"/>
      <c r="AE300"/>
    </row>
    <row r="301" spans="30:31" x14ac:dyDescent="0.25">
      <c r="AD301"/>
      <c r="AE301"/>
    </row>
    <row r="302" spans="30:31" x14ac:dyDescent="0.25">
      <c r="AD302"/>
      <c r="AE302"/>
    </row>
    <row r="303" spans="30:31" x14ac:dyDescent="0.25">
      <c r="AD303"/>
      <c r="AE303"/>
    </row>
    <row r="304" spans="30:31" x14ac:dyDescent="0.25">
      <c r="AD304"/>
      <c r="AE304"/>
    </row>
    <row r="305" spans="30:31" x14ac:dyDescent="0.25">
      <c r="AD305"/>
      <c r="AE305"/>
    </row>
    <row r="306" spans="30:31" x14ac:dyDescent="0.25">
      <c r="AD306"/>
      <c r="AE306"/>
    </row>
    <row r="307" spans="30:31" x14ac:dyDescent="0.25">
      <c r="AD307"/>
      <c r="AE307"/>
    </row>
    <row r="308" spans="30:31" x14ac:dyDescent="0.25">
      <c r="AD308"/>
      <c r="AE308"/>
    </row>
    <row r="309" spans="30:31" x14ac:dyDescent="0.25">
      <c r="AD309"/>
      <c r="AE309"/>
    </row>
    <row r="310" spans="30:31" x14ac:dyDescent="0.25">
      <c r="AD310"/>
      <c r="AE310"/>
    </row>
    <row r="311" spans="30:31" x14ac:dyDescent="0.25">
      <c r="AD311"/>
      <c r="AE311"/>
    </row>
    <row r="312" spans="30:31" x14ac:dyDescent="0.25">
      <c r="AD312"/>
      <c r="AE312"/>
    </row>
    <row r="313" spans="30:31" x14ac:dyDescent="0.25">
      <c r="AD313"/>
      <c r="AE313"/>
    </row>
    <row r="314" spans="30:31" x14ac:dyDescent="0.25">
      <c r="AD314"/>
      <c r="AE314"/>
    </row>
    <row r="315" spans="30:31" x14ac:dyDescent="0.25">
      <c r="AD315"/>
      <c r="AE315"/>
    </row>
    <row r="316" spans="30:31" x14ac:dyDescent="0.25">
      <c r="AD316"/>
      <c r="AE316"/>
    </row>
    <row r="317" spans="30:31" x14ac:dyDescent="0.25">
      <c r="AD317"/>
      <c r="AE317"/>
    </row>
    <row r="318" spans="30:31" x14ac:dyDescent="0.25">
      <c r="AD318"/>
      <c r="AE318"/>
    </row>
    <row r="319" spans="30:31" x14ac:dyDescent="0.25">
      <c r="AD319"/>
      <c r="AE319"/>
    </row>
    <row r="320" spans="30:31" x14ac:dyDescent="0.25">
      <c r="AD320"/>
      <c r="AE320"/>
    </row>
    <row r="321" spans="30:31" x14ac:dyDescent="0.25">
      <c r="AD321"/>
      <c r="AE321"/>
    </row>
    <row r="322" spans="30:31" x14ac:dyDescent="0.25">
      <c r="AD322"/>
      <c r="AE322"/>
    </row>
    <row r="323" spans="30:31" x14ac:dyDescent="0.25">
      <c r="AD323"/>
      <c r="AE323"/>
    </row>
    <row r="324" spans="30:31" x14ac:dyDescent="0.25">
      <c r="AD324"/>
      <c r="AE324"/>
    </row>
    <row r="325" spans="30:31" x14ac:dyDescent="0.25">
      <c r="AD325"/>
      <c r="AE325"/>
    </row>
    <row r="326" spans="30:31" x14ac:dyDescent="0.25">
      <c r="AD326"/>
      <c r="AE326"/>
    </row>
    <row r="327" spans="30:31" x14ac:dyDescent="0.25">
      <c r="AD327"/>
      <c r="AE327"/>
    </row>
    <row r="328" spans="30:31" x14ac:dyDescent="0.25">
      <c r="AD328"/>
      <c r="AE328"/>
    </row>
    <row r="329" spans="30:31" x14ac:dyDescent="0.25">
      <c r="AD329"/>
      <c r="AE329"/>
    </row>
    <row r="330" spans="30:31" x14ac:dyDescent="0.25">
      <c r="AD330"/>
      <c r="AE330"/>
    </row>
    <row r="331" spans="30:31" x14ac:dyDescent="0.25">
      <c r="AD331"/>
      <c r="AE331"/>
    </row>
    <row r="332" spans="30:31" x14ac:dyDescent="0.25">
      <c r="AD332"/>
      <c r="AE332"/>
    </row>
    <row r="333" spans="30:31" x14ac:dyDescent="0.25">
      <c r="AD333"/>
      <c r="AE333"/>
    </row>
    <row r="334" spans="30:31" x14ac:dyDescent="0.25">
      <c r="AD334"/>
      <c r="AE334"/>
    </row>
    <row r="335" spans="30:31" x14ac:dyDescent="0.25">
      <c r="AD335"/>
      <c r="AE335"/>
    </row>
    <row r="336" spans="30:31" x14ac:dyDescent="0.25">
      <c r="AD336"/>
      <c r="AE336"/>
    </row>
    <row r="337" spans="30:31" x14ac:dyDescent="0.25">
      <c r="AD337"/>
      <c r="AE337"/>
    </row>
    <row r="338" spans="30:31" x14ac:dyDescent="0.25">
      <c r="AD338"/>
      <c r="AE338"/>
    </row>
    <row r="339" spans="30:31" x14ac:dyDescent="0.25">
      <c r="AD339"/>
      <c r="AE339"/>
    </row>
    <row r="340" spans="30:31" x14ac:dyDescent="0.25">
      <c r="AD340"/>
      <c r="AE340"/>
    </row>
    <row r="341" spans="30:31" x14ac:dyDescent="0.25">
      <c r="AD341"/>
      <c r="AE341"/>
    </row>
    <row r="342" spans="30:31" x14ac:dyDescent="0.25">
      <c r="AD342"/>
      <c r="AE342"/>
    </row>
    <row r="343" spans="30:31" x14ac:dyDescent="0.25">
      <c r="AD343"/>
      <c r="AE343"/>
    </row>
    <row r="344" spans="30:31" x14ac:dyDescent="0.25">
      <c r="AD344"/>
      <c r="AE344"/>
    </row>
    <row r="345" spans="30:31" x14ac:dyDescent="0.25">
      <c r="AD345"/>
      <c r="AE345"/>
    </row>
    <row r="346" spans="30:31" x14ac:dyDescent="0.25">
      <c r="AD346"/>
      <c r="AE346"/>
    </row>
    <row r="347" spans="30:31" x14ac:dyDescent="0.25">
      <c r="AD347"/>
      <c r="AE347"/>
    </row>
    <row r="348" spans="30:31" x14ac:dyDescent="0.25">
      <c r="AD348"/>
      <c r="AE348"/>
    </row>
    <row r="349" spans="30:31" x14ac:dyDescent="0.25">
      <c r="AD349"/>
      <c r="AE349"/>
    </row>
    <row r="350" spans="30:31" x14ac:dyDescent="0.25">
      <c r="AD350"/>
      <c r="AE350"/>
    </row>
    <row r="351" spans="30:31" x14ac:dyDescent="0.25">
      <c r="AD351"/>
      <c r="AE351"/>
    </row>
    <row r="352" spans="30:31" x14ac:dyDescent="0.25">
      <c r="AD352"/>
      <c r="AE352"/>
    </row>
    <row r="353" spans="30:31" x14ac:dyDescent="0.25">
      <c r="AD353"/>
      <c r="AE353"/>
    </row>
    <row r="354" spans="30:31" x14ac:dyDescent="0.25">
      <c r="AD354"/>
      <c r="AE354"/>
    </row>
    <row r="355" spans="30:31" x14ac:dyDescent="0.25">
      <c r="AD355"/>
      <c r="AE355"/>
    </row>
    <row r="356" spans="30:31" x14ac:dyDescent="0.25">
      <c r="AD356"/>
      <c r="AE356"/>
    </row>
    <row r="357" spans="30:31" x14ac:dyDescent="0.25">
      <c r="AD357"/>
      <c r="AE357"/>
    </row>
    <row r="358" spans="30:31" x14ac:dyDescent="0.25">
      <c r="AD358"/>
      <c r="AE358"/>
    </row>
    <row r="359" spans="30:31" x14ac:dyDescent="0.25">
      <c r="AD359"/>
      <c r="AE359"/>
    </row>
    <row r="360" spans="30:31" x14ac:dyDescent="0.25">
      <c r="AD360"/>
      <c r="AE360"/>
    </row>
    <row r="361" spans="30:31" x14ac:dyDescent="0.25">
      <c r="AD361"/>
      <c r="AE361"/>
    </row>
    <row r="362" spans="30:31" x14ac:dyDescent="0.25">
      <c r="AD362"/>
      <c r="AE362"/>
    </row>
    <row r="363" spans="30:31" x14ac:dyDescent="0.25">
      <c r="AD363"/>
      <c r="AE363"/>
    </row>
    <row r="364" spans="30:31" x14ac:dyDescent="0.25">
      <c r="AD364"/>
      <c r="AE364"/>
    </row>
    <row r="365" spans="30:31" x14ac:dyDescent="0.25">
      <c r="AD365"/>
      <c r="AE365"/>
    </row>
    <row r="366" spans="30:31" x14ac:dyDescent="0.25">
      <c r="AD366"/>
      <c r="AE366"/>
    </row>
    <row r="367" spans="30:31" x14ac:dyDescent="0.25">
      <c r="AD367"/>
      <c r="AE367"/>
    </row>
    <row r="368" spans="30:31" x14ac:dyDescent="0.25">
      <c r="AD368"/>
      <c r="AE368"/>
    </row>
    <row r="369" spans="30:31" x14ac:dyDescent="0.25">
      <c r="AD369"/>
      <c r="AE369"/>
    </row>
    <row r="370" spans="30:31" x14ac:dyDescent="0.25">
      <c r="AD370"/>
      <c r="AE370"/>
    </row>
    <row r="371" spans="30:31" x14ac:dyDescent="0.25">
      <c r="AD371"/>
      <c r="AE371"/>
    </row>
    <row r="372" spans="30:31" x14ac:dyDescent="0.25">
      <c r="AD372"/>
      <c r="AE372"/>
    </row>
    <row r="373" spans="30:31" x14ac:dyDescent="0.25">
      <c r="AD373"/>
      <c r="AE373"/>
    </row>
    <row r="374" spans="30:31" x14ac:dyDescent="0.25">
      <c r="AD374"/>
      <c r="AE374"/>
    </row>
    <row r="375" spans="30:31" x14ac:dyDescent="0.25">
      <c r="AD375"/>
      <c r="AE375"/>
    </row>
    <row r="376" spans="30:31" x14ac:dyDescent="0.25">
      <c r="AD376"/>
      <c r="AE376"/>
    </row>
    <row r="377" spans="30:31" x14ac:dyDescent="0.25">
      <c r="AD377"/>
      <c r="AE377"/>
    </row>
    <row r="378" spans="30:31" x14ac:dyDescent="0.25">
      <c r="AD378"/>
      <c r="AE378"/>
    </row>
    <row r="379" spans="30:31" x14ac:dyDescent="0.25">
      <c r="AD379"/>
      <c r="AE379"/>
    </row>
    <row r="380" spans="30:31" x14ac:dyDescent="0.25">
      <c r="AD380"/>
      <c r="AE380"/>
    </row>
    <row r="381" spans="30:31" x14ac:dyDescent="0.25">
      <c r="AD381"/>
      <c r="AE381"/>
    </row>
    <row r="382" spans="30:31" x14ac:dyDescent="0.25">
      <c r="AD382"/>
      <c r="AE382"/>
    </row>
    <row r="383" spans="30:31" x14ac:dyDescent="0.25">
      <c r="AD383"/>
      <c r="AE383"/>
    </row>
    <row r="384" spans="30:31" x14ac:dyDescent="0.25">
      <c r="AD384"/>
      <c r="AE384"/>
    </row>
    <row r="385" spans="30:31" x14ac:dyDescent="0.25">
      <c r="AD385"/>
      <c r="AE385"/>
    </row>
    <row r="386" spans="30:31" x14ac:dyDescent="0.25">
      <c r="AD386"/>
      <c r="AE386"/>
    </row>
    <row r="387" spans="30:31" x14ac:dyDescent="0.25">
      <c r="AD387"/>
      <c r="AE387"/>
    </row>
    <row r="388" spans="30:31" x14ac:dyDescent="0.25">
      <c r="AD388"/>
      <c r="AE388"/>
    </row>
    <row r="389" spans="30:31" x14ac:dyDescent="0.25">
      <c r="AD389"/>
      <c r="AE389"/>
    </row>
    <row r="390" spans="30:31" x14ac:dyDescent="0.25">
      <c r="AD390"/>
      <c r="AE390"/>
    </row>
    <row r="391" spans="30:31" x14ac:dyDescent="0.25">
      <c r="AD391"/>
      <c r="AE391"/>
    </row>
    <row r="392" spans="30:31" x14ac:dyDescent="0.25">
      <c r="AD392"/>
      <c r="AE392"/>
    </row>
    <row r="393" spans="30:31" x14ac:dyDescent="0.25">
      <c r="AD393"/>
      <c r="AE393"/>
    </row>
    <row r="394" spans="30:31" x14ac:dyDescent="0.25">
      <c r="AD394"/>
      <c r="AE394"/>
    </row>
    <row r="395" spans="30:31" x14ac:dyDescent="0.25">
      <c r="AD395"/>
      <c r="AE395"/>
    </row>
    <row r="396" spans="30:31" x14ac:dyDescent="0.25">
      <c r="AD396"/>
      <c r="AE396"/>
    </row>
    <row r="397" spans="30:31" x14ac:dyDescent="0.25">
      <c r="AD397"/>
      <c r="AE397"/>
    </row>
    <row r="398" spans="30:31" x14ac:dyDescent="0.25">
      <c r="AD398"/>
      <c r="AE398"/>
    </row>
    <row r="399" spans="30:31" x14ac:dyDescent="0.25">
      <c r="AD399"/>
      <c r="AE399"/>
    </row>
    <row r="400" spans="30:31" x14ac:dyDescent="0.25">
      <c r="AD400"/>
      <c r="AE400"/>
    </row>
    <row r="401" spans="30:31" x14ac:dyDescent="0.25">
      <c r="AD401"/>
      <c r="AE401"/>
    </row>
    <row r="402" spans="30:31" x14ac:dyDescent="0.25">
      <c r="AD402"/>
      <c r="AE402"/>
    </row>
    <row r="403" spans="30:31" x14ac:dyDescent="0.25">
      <c r="AD403"/>
      <c r="AE403"/>
    </row>
    <row r="404" spans="30:31" x14ac:dyDescent="0.25">
      <c r="AD404"/>
      <c r="AE404"/>
    </row>
    <row r="405" spans="30:31" x14ac:dyDescent="0.25">
      <c r="AD405"/>
      <c r="AE405"/>
    </row>
    <row r="406" spans="30:31" x14ac:dyDescent="0.25">
      <c r="AD406"/>
      <c r="AE406"/>
    </row>
    <row r="407" spans="30:31" x14ac:dyDescent="0.25">
      <c r="AD407"/>
      <c r="AE407"/>
    </row>
    <row r="408" spans="30:31" x14ac:dyDescent="0.25">
      <c r="AD408"/>
      <c r="AE408"/>
    </row>
    <row r="409" spans="30:31" x14ac:dyDescent="0.25">
      <c r="AD409"/>
      <c r="AE409"/>
    </row>
    <row r="410" spans="30:31" x14ac:dyDescent="0.25">
      <c r="AD410"/>
      <c r="AE410"/>
    </row>
    <row r="411" spans="30:31" x14ac:dyDescent="0.25">
      <c r="AD411"/>
      <c r="AE411"/>
    </row>
    <row r="412" spans="30:31" x14ac:dyDescent="0.25">
      <c r="AD412"/>
      <c r="AE412"/>
    </row>
    <row r="413" spans="30:31" x14ac:dyDescent="0.25">
      <c r="AD413"/>
      <c r="AE413"/>
    </row>
    <row r="414" spans="30:31" x14ac:dyDescent="0.25">
      <c r="AD414"/>
      <c r="AE414"/>
    </row>
    <row r="415" spans="30:31" x14ac:dyDescent="0.25">
      <c r="AD415"/>
      <c r="AE415"/>
    </row>
    <row r="416" spans="30:31" x14ac:dyDescent="0.25">
      <c r="AD416"/>
      <c r="AE416"/>
    </row>
    <row r="417" spans="30:31" x14ac:dyDescent="0.25">
      <c r="AD417"/>
      <c r="AE417"/>
    </row>
    <row r="418" spans="30:31" x14ac:dyDescent="0.25">
      <c r="AD418"/>
      <c r="AE418"/>
    </row>
    <row r="419" spans="30:31" x14ac:dyDescent="0.25">
      <c r="AD419"/>
      <c r="AE419"/>
    </row>
    <row r="420" spans="30:31" x14ac:dyDescent="0.25">
      <c r="AD420"/>
      <c r="AE420"/>
    </row>
    <row r="421" spans="30:31" x14ac:dyDescent="0.25">
      <c r="AD421"/>
      <c r="AE421"/>
    </row>
    <row r="422" spans="30:31" x14ac:dyDescent="0.25">
      <c r="AD422"/>
      <c r="AE422"/>
    </row>
    <row r="423" spans="30:31" x14ac:dyDescent="0.25">
      <c r="AD423"/>
      <c r="AE423"/>
    </row>
    <row r="424" spans="30:31" x14ac:dyDescent="0.25">
      <c r="AD424"/>
      <c r="AE424"/>
    </row>
    <row r="425" spans="30:31" x14ac:dyDescent="0.25">
      <c r="AD425"/>
      <c r="AE425"/>
    </row>
    <row r="426" spans="30:31" x14ac:dyDescent="0.25">
      <c r="AD426"/>
      <c r="AE426"/>
    </row>
    <row r="427" spans="30:31" x14ac:dyDescent="0.25">
      <c r="AD427"/>
      <c r="AE427"/>
    </row>
    <row r="428" spans="30:31" x14ac:dyDescent="0.25">
      <c r="AD428"/>
      <c r="AE428"/>
    </row>
    <row r="429" spans="30:31" x14ac:dyDescent="0.25">
      <c r="AD429"/>
      <c r="AE429"/>
    </row>
    <row r="430" spans="30:31" x14ac:dyDescent="0.25">
      <c r="AD430"/>
      <c r="AE430"/>
    </row>
    <row r="431" spans="30:31" x14ac:dyDescent="0.25">
      <c r="AD431"/>
      <c r="AE431"/>
    </row>
    <row r="432" spans="30:31" x14ac:dyDescent="0.25">
      <c r="AD432"/>
      <c r="AE432"/>
    </row>
    <row r="433" spans="30:31" x14ac:dyDescent="0.25">
      <c r="AD433"/>
      <c r="AE433"/>
    </row>
    <row r="434" spans="30:31" x14ac:dyDescent="0.25">
      <c r="AD434"/>
      <c r="AE434"/>
    </row>
    <row r="435" spans="30:31" x14ac:dyDescent="0.25">
      <c r="AD435"/>
      <c r="AE435"/>
    </row>
    <row r="436" spans="30:31" x14ac:dyDescent="0.25">
      <c r="AD436"/>
      <c r="AE436"/>
    </row>
    <row r="437" spans="30:31" x14ac:dyDescent="0.25">
      <c r="AD437"/>
      <c r="AE437"/>
    </row>
    <row r="438" spans="30:31" x14ac:dyDescent="0.25">
      <c r="AD438"/>
      <c r="AE438"/>
    </row>
    <row r="439" spans="30:31" x14ac:dyDescent="0.25">
      <c r="AD439"/>
      <c r="AE439"/>
    </row>
    <row r="440" spans="30:31" x14ac:dyDescent="0.25">
      <c r="AD440"/>
      <c r="AE440"/>
    </row>
    <row r="441" spans="30:31" x14ac:dyDescent="0.25">
      <c r="AD441"/>
      <c r="AE441"/>
    </row>
    <row r="442" spans="30:31" x14ac:dyDescent="0.25">
      <c r="AD442"/>
      <c r="AE442"/>
    </row>
    <row r="443" spans="30:31" x14ac:dyDescent="0.25">
      <c r="AD443"/>
      <c r="AE443"/>
    </row>
    <row r="444" spans="30:31" x14ac:dyDescent="0.25">
      <c r="AD444"/>
      <c r="AE444"/>
    </row>
    <row r="445" spans="30:31" x14ac:dyDescent="0.25">
      <c r="AD445"/>
      <c r="AE445"/>
    </row>
    <row r="446" spans="30:31" x14ac:dyDescent="0.25">
      <c r="AD446"/>
      <c r="AE446"/>
    </row>
    <row r="447" spans="30:31" x14ac:dyDescent="0.25">
      <c r="AD447"/>
      <c r="AE447"/>
    </row>
    <row r="448" spans="30:31" x14ac:dyDescent="0.25">
      <c r="AD448"/>
      <c r="AE448"/>
    </row>
    <row r="449" spans="30:31" x14ac:dyDescent="0.25">
      <c r="AD449"/>
      <c r="AE449"/>
    </row>
    <row r="450" spans="30:31" x14ac:dyDescent="0.25">
      <c r="AD450"/>
      <c r="AE450"/>
    </row>
    <row r="451" spans="30:31" x14ac:dyDescent="0.25">
      <c r="AD451"/>
      <c r="AE451"/>
    </row>
    <row r="452" spans="30:31" x14ac:dyDescent="0.25">
      <c r="AD452"/>
      <c r="AE452"/>
    </row>
    <row r="453" spans="30:31" x14ac:dyDescent="0.25">
      <c r="AD453"/>
      <c r="AE453"/>
    </row>
    <row r="454" spans="30:31" x14ac:dyDescent="0.25">
      <c r="AD454"/>
      <c r="AE454"/>
    </row>
    <row r="455" spans="30:31" x14ac:dyDescent="0.25">
      <c r="AD455"/>
      <c r="AE455"/>
    </row>
    <row r="456" spans="30:31" x14ac:dyDescent="0.25">
      <c r="AD456"/>
      <c r="AE456"/>
    </row>
    <row r="457" spans="30:31" x14ac:dyDescent="0.25">
      <c r="AD457"/>
      <c r="AE457"/>
    </row>
    <row r="458" spans="30:31" x14ac:dyDescent="0.25">
      <c r="AD458"/>
      <c r="AE458"/>
    </row>
    <row r="459" spans="30:31" x14ac:dyDescent="0.25">
      <c r="AD459"/>
      <c r="AE459"/>
    </row>
    <row r="460" spans="30:31" x14ac:dyDescent="0.25">
      <c r="AD460"/>
      <c r="AE460"/>
    </row>
    <row r="461" spans="30:31" x14ac:dyDescent="0.25">
      <c r="AD461"/>
      <c r="AE461"/>
    </row>
    <row r="462" spans="30:31" x14ac:dyDescent="0.25">
      <c r="AD462"/>
      <c r="AE462"/>
    </row>
    <row r="463" spans="30:31" x14ac:dyDescent="0.25">
      <c r="AD463"/>
      <c r="AE463"/>
    </row>
    <row r="464" spans="30:31" x14ac:dyDescent="0.25">
      <c r="AD464"/>
      <c r="AE464"/>
    </row>
    <row r="465" spans="15:31" x14ac:dyDescent="0.25">
      <c r="AD465"/>
      <c r="AE465"/>
    </row>
    <row r="466" spans="15:31" x14ac:dyDescent="0.25">
      <c r="AD466"/>
      <c r="AE466"/>
    </row>
    <row r="467" spans="15:31" x14ac:dyDescent="0.25">
      <c r="AD467"/>
      <c r="AE467"/>
    </row>
    <row r="468" spans="15:31" x14ac:dyDescent="0.25">
      <c r="AD468"/>
      <c r="AE468"/>
    </row>
    <row r="469" spans="15:31" x14ac:dyDescent="0.25">
      <c r="AD469"/>
      <c r="AE469"/>
    </row>
    <row r="470" spans="15:31" x14ac:dyDescent="0.25">
      <c r="AD470"/>
      <c r="AE470"/>
    </row>
    <row r="471" spans="15:31" x14ac:dyDescent="0.25">
      <c r="AD471"/>
      <c r="AE471"/>
    </row>
    <row r="472" spans="15:31" x14ac:dyDescent="0.25">
      <c r="AD472"/>
      <c r="AE472"/>
    </row>
    <row r="473" spans="15:31" x14ac:dyDescent="0.25">
      <c r="AD473"/>
      <c r="AE473"/>
    </row>
    <row r="474" spans="15:31" x14ac:dyDescent="0.25">
      <c r="AD474"/>
      <c r="AE474"/>
    </row>
    <row r="475" spans="15:31" x14ac:dyDescent="0.25">
      <c r="AD475"/>
      <c r="AE475"/>
    </row>
    <row r="476" spans="15:31" x14ac:dyDescent="0.25">
      <c r="AD476"/>
      <c r="AE476"/>
    </row>
    <row r="477" spans="15:31" x14ac:dyDescent="0.25">
      <c r="AD477"/>
      <c r="AE477"/>
    </row>
    <row r="478" spans="15:31" x14ac:dyDescent="0.25">
      <c r="O478" s="52"/>
      <c r="P478" s="52"/>
      <c r="AD478"/>
      <c r="AE478"/>
    </row>
    <row r="479" spans="15:31" x14ac:dyDescent="0.25">
      <c r="O479" s="52"/>
      <c r="P479" s="52"/>
      <c r="AD479"/>
      <c r="AE479"/>
    </row>
    <row r="480" spans="15:31" x14ac:dyDescent="0.25">
      <c r="O480" s="52"/>
      <c r="P480" s="52"/>
      <c r="AD480"/>
      <c r="AE480"/>
    </row>
    <row r="481" spans="15:31" x14ac:dyDescent="0.25">
      <c r="O481" s="52"/>
      <c r="P481" s="52"/>
      <c r="AD481"/>
      <c r="AE481"/>
    </row>
    <row r="482" spans="15:31" x14ac:dyDescent="0.25">
      <c r="O482" s="52"/>
      <c r="P482" s="52"/>
      <c r="AD482"/>
      <c r="AE482"/>
    </row>
    <row r="483" spans="15:31" x14ac:dyDescent="0.25">
      <c r="O483" s="52"/>
      <c r="P483" s="52"/>
      <c r="AD483"/>
      <c r="AE483"/>
    </row>
    <row r="484" spans="15:31" x14ac:dyDescent="0.25">
      <c r="O484" s="52"/>
      <c r="P484" s="52"/>
      <c r="AD484"/>
      <c r="AE484"/>
    </row>
    <row r="485" spans="15:31" x14ac:dyDescent="0.25">
      <c r="O485" s="52"/>
      <c r="P485" s="52"/>
      <c r="AD485"/>
      <c r="AE485"/>
    </row>
    <row r="486" spans="15:31" x14ac:dyDescent="0.25">
      <c r="O486" s="52"/>
      <c r="P486" s="52"/>
      <c r="AD486"/>
      <c r="AE486"/>
    </row>
    <row r="487" spans="15:31" x14ac:dyDescent="0.25">
      <c r="O487" s="52"/>
      <c r="P487" s="52"/>
      <c r="AD487"/>
      <c r="AE487"/>
    </row>
    <row r="488" spans="15:31" x14ac:dyDescent="0.25">
      <c r="O488" s="52"/>
      <c r="P488" s="52"/>
      <c r="AD488"/>
      <c r="AE488"/>
    </row>
    <row r="489" spans="15:31" x14ac:dyDescent="0.25">
      <c r="O489" s="52"/>
      <c r="P489" s="52"/>
      <c r="AD489"/>
      <c r="AE489"/>
    </row>
    <row r="490" spans="15:31" x14ac:dyDescent="0.25">
      <c r="O490" s="52"/>
      <c r="P490" s="52"/>
      <c r="AD490"/>
      <c r="AE490"/>
    </row>
    <row r="491" spans="15:31" x14ac:dyDescent="0.25">
      <c r="O491" s="52"/>
      <c r="P491" s="52"/>
      <c r="AD491"/>
      <c r="AE491"/>
    </row>
    <row r="492" spans="15:31" x14ac:dyDescent="0.25">
      <c r="O492" s="52"/>
      <c r="P492" s="52"/>
      <c r="AD492"/>
      <c r="AE492"/>
    </row>
    <row r="493" spans="15:31" x14ac:dyDescent="0.25">
      <c r="O493" s="52"/>
      <c r="P493" s="52"/>
      <c r="AD493"/>
      <c r="AE493"/>
    </row>
    <row r="494" spans="15:31" x14ac:dyDescent="0.25">
      <c r="O494" s="52"/>
      <c r="P494" s="52"/>
      <c r="AD494"/>
      <c r="AE494"/>
    </row>
    <row r="495" spans="15:31" x14ac:dyDescent="0.25">
      <c r="O495" s="52"/>
      <c r="P495" s="52"/>
      <c r="AD495"/>
      <c r="AE495"/>
    </row>
    <row r="496" spans="15:31" x14ac:dyDescent="0.25">
      <c r="O496" s="52"/>
      <c r="P496" s="52"/>
      <c r="AD496"/>
      <c r="AE496"/>
    </row>
    <row r="497" spans="15:31" x14ac:dyDescent="0.25">
      <c r="O497" s="52"/>
      <c r="P497" s="52"/>
      <c r="AD497"/>
      <c r="AE497"/>
    </row>
    <row r="498" spans="15:31" x14ac:dyDescent="0.25">
      <c r="O498" s="52"/>
      <c r="P498" s="52"/>
      <c r="AD498"/>
      <c r="AE498"/>
    </row>
    <row r="499" spans="15:31" x14ac:dyDescent="0.25">
      <c r="O499" s="52"/>
      <c r="P499" s="52"/>
      <c r="AD499"/>
      <c r="AE499"/>
    </row>
    <row r="500" spans="15:31" x14ac:dyDescent="0.25">
      <c r="O500" s="52"/>
      <c r="P500" s="52"/>
      <c r="AD500"/>
      <c r="AE500"/>
    </row>
    <row r="501" spans="15:31" x14ac:dyDescent="0.25">
      <c r="O501" s="52"/>
      <c r="P501" s="52"/>
      <c r="AD501"/>
      <c r="AE501"/>
    </row>
    <row r="502" spans="15:31" x14ac:dyDescent="0.25">
      <c r="O502" s="52"/>
      <c r="P502" s="52"/>
      <c r="AD502"/>
      <c r="AE502"/>
    </row>
    <row r="503" spans="15:31" x14ac:dyDescent="0.25">
      <c r="O503" s="52"/>
      <c r="P503" s="52"/>
      <c r="AD503"/>
      <c r="AE503"/>
    </row>
    <row r="504" spans="15:31" x14ac:dyDescent="0.25">
      <c r="O504" s="52"/>
      <c r="P504" s="52"/>
      <c r="AD504"/>
      <c r="AE504"/>
    </row>
    <row r="505" spans="15:31" x14ac:dyDescent="0.25">
      <c r="O505" s="52"/>
      <c r="P505" s="52"/>
      <c r="AD505"/>
      <c r="AE505"/>
    </row>
    <row r="506" spans="15:31" x14ac:dyDescent="0.25">
      <c r="O506" s="52"/>
      <c r="P506" s="52"/>
      <c r="AD506"/>
      <c r="AE506"/>
    </row>
    <row r="507" spans="15:31" x14ac:dyDescent="0.25">
      <c r="O507" s="52"/>
      <c r="P507" s="52"/>
      <c r="AD507"/>
      <c r="AE507"/>
    </row>
    <row r="508" spans="15:31" x14ac:dyDescent="0.25">
      <c r="O508" s="52"/>
      <c r="P508" s="52"/>
      <c r="AD508"/>
      <c r="AE508"/>
    </row>
    <row r="509" spans="15:31" x14ac:dyDescent="0.25">
      <c r="O509" s="52"/>
      <c r="P509" s="52"/>
      <c r="AD509"/>
      <c r="AE509"/>
    </row>
    <row r="510" spans="15:31" x14ac:dyDescent="0.25">
      <c r="O510" s="52"/>
      <c r="P510" s="52"/>
      <c r="AD510"/>
      <c r="AE510"/>
    </row>
    <row r="511" spans="15:31" x14ac:dyDescent="0.25">
      <c r="O511" s="52"/>
      <c r="P511" s="52"/>
      <c r="AD511"/>
      <c r="AE511"/>
    </row>
    <row r="512" spans="15:31" x14ac:dyDescent="0.25">
      <c r="O512" s="52"/>
      <c r="P512" s="52"/>
      <c r="AD512"/>
      <c r="AE512"/>
    </row>
    <row r="513" spans="15:31" x14ac:dyDescent="0.25">
      <c r="O513" s="52"/>
      <c r="P513" s="52"/>
      <c r="AD513"/>
      <c r="AE513"/>
    </row>
    <row r="514" spans="15:31" x14ac:dyDescent="0.25">
      <c r="O514" s="52"/>
      <c r="P514" s="52"/>
      <c r="AD514"/>
      <c r="AE514"/>
    </row>
    <row r="515" spans="15:31" x14ac:dyDescent="0.25">
      <c r="O515" s="52"/>
      <c r="P515" s="52"/>
      <c r="AD515"/>
      <c r="AE515"/>
    </row>
    <row r="516" spans="15:31" x14ac:dyDescent="0.25">
      <c r="O516" s="52"/>
      <c r="P516" s="52"/>
      <c r="AD516"/>
      <c r="AE516"/>
    </row>
    <row r="517" spans="15:31" x14ac:dyDescent="0.25">
      <c r="O517" s="52"/>
      <c r="P517" s="52"/>
      <c r="AD517"/>
      <c r="AE517"/>
    </row>
    <row r="518" spans="15:31" x14ac:dyDescent="0.25">
      <c r="O518" s="52"/>
      <c r="P518" s="52"/>
      <c r="AD518"/>
      <c r="AE518"/>
    </row>
    <row r="519" spans="15:31" x14ac:dyDescent="0.25">
      <c r="O519" s="52"/>
      <c r="P519" s="52"/>
      <c r="AD519"/>
      <c r="AE519"/>
    </row>
    <row r="520" spans="15:31" x14ac:dyDescent="0.25">
      <c r="O520" s="52"/>
      <c r="P520" s="52"/>
      <c r="AD520"/>
      <c r="AE520"/>
    </row>
    <row r="521" spans="15:31" x14ac:dyDescent="0.25">
      <c r="O521" s="52"/>
      <c r="P521" s="52"/>
      <c r="AD521"/>
      <c r="AE521"/>
    </row>
    <row r="522" spans="15:31" x14ac:dyDescent="0.25">
      <c r="O522" s="52"/>
      <c r="P522" s="52"/>
      <c r="AD522"/>
      <c r="AE522"/>
    </row>
    <row r="523" spans="15:31" x14ac:dyDescent="0.25">
      <c r="O523" s="52"/>
      <c r="P523" s="52"/>
      <c r="AD523"/>
      <c r="AE523"/>
    </row>
    <row r="524" spans="15:31" x14ac:dyDescent="0.25">
      <c r="O524" s="52"/>
      <c r="P524" s="52"/>
      <c r="AD524"/>
      <c r="AE524"/>
    </row>
    <row r="525" spans="15:31" x14ac:dyDescent="0.25">
      <c r="O525" s="52"/>
      <c r="P525" s="52"/>
      <c r="AD525"/>
      <c r="AE525"/>
    </row>
    <row r="526" spans="15:31" x14ac:dyDescent="0.25">
      <c r="O526" s="52"/>
      <c r="P526" s="52"/>
      <c r="AD526"/>
      <c r="AE526"/>
    </row>
    <row r="527" spans="15:31" x14ac:dyDescent="0.25">
      <c r="O527" s="52"/>
      <c r="P527" s="52"/>
      <c r="AD527"/>
      <c r="AE527"/>
    </row>
    <row r="528" spans="15:31" x14ac:dyDescent="0.25">
      <c r="O528" s="52"/>
      <c r="P528" s="52"/>
      <c r="AD528"/>
      <c r="AE528"/>
    </row>
    <row r="529" spans="15:31" x14ac:dyDescent="0.25">
      <c r="O529" s="52"/>
      <c r="P529" s="52"/>
      <c r="AD529"/>
      <c r="AE529"/>
    </row>
    <row r="530" spans="15:31" x14ac:dyDescent="0.25">
      <c r="O530" s="52"/>
      <c r="P530" s="52"/>
      <c r="AD530"/>
      <c r="AE530"/>
    </row>
    <row r="531" spans="15:31" x14ac:dyDescent="0.25">
      <c r="O531" s="52"/>
      <c r="P531" s="52"/>
      <c r="AD531"/>
      <c r="AE531"/>
    </row>
    <row r="532" spans="15:31" x14ac:dyDescent="0.25">
      <c r="O532" s="52"/>
      <c r="P532" s="52"/>
      <c r="AD532"/>
      <c r="AE532"/>
    </row>
    <row r="533" spans="15:31" x14ac:dyDescent="0.25">
      <c r="O533" s="52"/>
      <c r="P533" s="52"/>
      <c r="AD533"/>
      <c r="AE533"/>
    </row>
    <row r="534" spans="15:31" x14ac:dyDescent="0.25">
      <c r="O534" s="52"/>
      <c r="P534" s="52"/>
      <c r="AD534"/>
      <c r="AE534"/>
    </row>
    <row r="535" spans="15:31" x14ac:dyDescent="0.25">
      <c r="O535" s="52"/>
      <c r="P535" s="52"/>
      <c r="AD535"/>
      <c r="AE535"/>
    </row>
    <row r="536" spans="15:31" x14ac:dyDescent="0.25">
      <c r="O536" s="52"/>
      <c r="P536" s="52"/>
      <c r="AD536"/>
      <c r="AE536"/>
    </row>
    <row r="537" spans="15:31" x14ac:dyDescent="0.25">
      <c r="O537" s="52"/>
      <c r="P537" s="52"/>
      <c r="AD537"/>
      <c r="AE537"/>
    </row>
    <row r="538" spans="15:31" x14ac:dyDescent="0.25">
      <c r="O538" s="52"/>
      <c r="P538" s="52"/>
      <c r="AD538"/>
      <c r="AE538"/>
    </row>
    <row r="539" spans="15:31" x14ac:dyDescent="0.25">
      <c r="O539" s="52"/>
      <c r="P539" s="52"/>
      <c r="AD539"/>
      <c r="AE539"/>
    </row>
    <row r="540" spans="15:31" x14ac:dyDescent="0.25">
      <c r="O540" s="52"/>
      <c r="P540" s="52"/>
      <c r="AD540"/>
      <c r="AE540"/>
    </row>
    <row r="541" spans="15:31" x14ac:dyDescent="0.25">
      <c r="O541" s="52"/>
      <c r="P541" s="52"/>
      <c r="AD541"/>
      <c r="AE541"/>
    </row>
    <row r="542" spans="15:31" x14ac:dyDescent="0.25">
      <c r="O542" s="52"/>
      <c r="P542" s="52"/>
      <c r="AD542"/>
      <c r="AE542"/>
    </row>
    <row r="543" spans="15:31" x14ac:dyDescent="0.25">
      <c r="O543" s="52"/>
      <c r="P543" s="52"/>
      <c r="AD543"/>
      <c r="AE543"/>
    </row>
    <row r="544" spans="15:31" x14ac:dyDescent="0.25">
      <c r="O544" s="52"/>
      <c r="P544" s="52"/>
      <c r="AD544"/>
      <c r="AE544"/>
    </row>
    <row r="545" spans="15:31" x14ac:dyDescent="0.25">
      <c r="O545" s="52"/>
      <c r="P545" s="52"/>
      <c r="AD545"/>
      <c r="AE545"/>
    </row>
    <row r="546" spans="15:31" x14ac:dyDescent="0.25">
      <c r="O546" s="52"/>
      <c r="P546" s="52"/>
      <c r="AD546"/>
      <c r="AE546"/>
    </row>
    <row r="547" spans="15:31" x14ac:dyDescent="0.25">
      <c r="O547" s="52"/>
      <c r="P547" s="52"/>
      <c r="AD547"/>
      <c r="AE547"/>
    </row>
    <row r="548" spans="15:31" x14ac:dyDescent="0.25">
      <c r="O548" s="52"/>
      <c r="P548" s="52"/>
      <c r="AD548"/>
      <c r="AE548"/>
    </row>
    <row r="549" spans="15:31" x14ac:dyDescent="0.25">
      <c r="O549" s="52"/>
      <c r="P549" s="52"/>
      <c r="AD549"/>
      <c r="AE549"/>
    </row>
    <row r="550" spans="15:31" x14ac:dyDescent="0.25">
      <c r="O550" s="52"/>
      <c r="P550" s="52"/>
      <c r="AD550"/>
      <c r="AE550"/>
    </row>
    <row r="551" spans="15:31" x14ac:dyDescent="0.25">
      <c r="O551" s="52"/>
      <c r="P551" s="52"/>
      <c r="AD551"/>
      <c r="AE551"/>
    </row>
    <row r="552" spans="15:31" x14ac:dyDescent="0.25">
      <c r="O552" s="52"/>
      <c r="P552" s="52"/>
      <c r="AD552"/>
      <c r="AE552"/>
    </row>
    <row r="553" spans="15:31" x14ac:dyDescent="0.25">
      <c r="O553" s="52"/>
      <c r="P553" s="52"/>
      <c r="AD553"/>
      <c r="AE553"/>
    </row>
    <row r="554" spans="15:31" x14ac:dyDescent="0.25">
      <c r="O554" s="52"/>
      <c r="P554" s="52"/>
      <c r="AD554"/>
      <c r="AE554"/>
    </row>
    <row r="555" spans="15:31" x14ac:dyDescent="0.25">
      <c r="O555" s="52"/>
      <c r="P555" s="52"/>
      <c r="AD555"/>
      <c r="AE555"/>
    </row>
    <row r="556" spans="15:31" x14ac:dyDescent="0.25">
      <c r="O556" s="52"/>
      <c r="P556" s="52"/>
      <c r="AD556"/>
      <c r="AE556"/>
    </row>
    <row r="557" spans="15:31" x14ac:dyDescent="0.25">
      <c r="O557" s="52"/>
      <c r="P557" s="52"/>
      <c r="AD557"/>
      <c r="AE557"/>
    </row>
    <row r="558" spans="15:31" x14ac:dyDescent="0.25">
      <c r="O558" s="52"/>
      <c r="P558" s="52"/>
      <c r="AD558"/>
      <c r="AE558"/>
    </row>
    <row r="559" spans="15:31" x14ac:dyDescent="0.25">
      <c r="O559" s="52"/>
      <c r="P559" s="52"/>
      <c r="AD559"/>
      <c r="AE559"/>
    </row>
    <row r="560" spans="15:31" x14ac:dyDescent="0.25">
      <c r="O560" s="52"/>
      <c r="P560" s="52"/>
      <c r="AD560"/>
      <c r="AE560"/>
    </row>
    <row r="561" spans="15:31" x14ac:dyDescent="0.25">
      <c r="O561" s="52"/>
      <c r="P561" s="52"/>
      <c r="AD561"/>
      <c r="AE561"/>
    </row>
    <row r="562" spans="15:31" x14ac:dyDescent="0.25">
      <c r="O562" s="52"/>
      <c r="P562" s="52"/>
      <c r="AD562"/>
      <c r="AE562"/>
    </row>
    <row r="563" spans="15:31" x14ac:dyDescent="0.25">
      <c r="O563" s="52"/>
      <c r="P563" s="52"/>
      <c r="AD563"/>
      <c r="AE563"/>
    </row>
    <row r="564" spans="15:31" x14ac:dyDescent="0.25">
      <c r="O564" s="52"/>
      <c r="P564" s="52"/>
      <c r="AD564"/>
      <c r="AE564"/>
    </row>
    <row r="565" spans="15:31" x14ac:dyDescent="0.25">
      <c r="O565" s="52"/>
      <c r="P565" s="52"/>
      <c r="AD565"/>
      <c r="AE565"/>
    </row>
    <row r="566" spans="15:31" x14ac:dyDescent="0.25">
      <c r="O566" s="52"/>
      <c r="P566" s="52"/>
      <c r="AD566"/>
      <c r="AE566"/>
    </row>
    <row r="567" spans="15:31" x14ac:dyDescent="0.25">
      <c r="O567" s="52"/>
      <c r="P567" s="52"/>
      <c r="AD567"/>
      <c r="AE567"/>
    </row>
    <row r="568" spans="15:31" x14ac:dyDescent="0.25">
      <c r="O568" s="52"/>
      <c r="P568" s="52"/>
      <c r="AD568"/>
      <c r="AE568"/>
    </row>
    <row r="569" spans="15:31" x14ac:dyDescent="0.25">
      <c r="O569" s="52"/>
      <c r="P569" s="52"/>
      <c r="AD569"/>
      <c r="AE569"/>
    </row>
    <row r="570" spans="15:31" x14ac:dyDescent="0.25">
      <c r="O570" s="52"/>
      <c r="P570" s="52"/>
      <c r="AD570"/>
      <c r="AE570"/>
    </row>
    <row r="571" spans="15:31" x14ac:dyDescent="0.25">
      <c r="O571" s="52"/>
      <c r="P571" s="52"/>
      <c r="AD571"/>
      <c r="AE571"/>
    </row>
    <row r="572" spans="15:31" x14ac:dyDescent="0.25">
      <c r="O572" s="52"/>
      <c r="P572" s="52"/>
      <c r="AD572"/>
      <c r="AE572"/>
    </row>
    <row r="573" spans="15:31" x14ac:dyDescent="0.25">
      <c r="O573" s="52"/>
      <c r="P573" s="52"/>
      <c r="AD573"/>
      <c r="AE573"/>
    </row>
    <row r="574" spans="15:31" x14ac:dyDescent="0.25">
      <c r="O574" s="52"/>
      <c r="P574" s="52"/>
      <c r="AD574"/>
      <c r="AE574"/>
    </row>
    <row r="575" spans="15:31" x14ac:dyDescent="0.25">
      <c r="O575" s="52"/>
      <c r="P575" s="52"/>
      <c r="AD575"/>
      <c r="AE575"/>
    </row>
    <row r="576" spans="15:31" x14ac:dyDescent="0.25">
      <c r="O576" s="52"/>
      <c r="P576" s="52"/>
      <c r="AD576"/>
      <c r="AE576"/>
    </row>
    <row r="577" spans="15:31" x14ac:dyDescent="0.25">
      <c r="O577" s="52"/>
      <c r="P577" s="52"/>
      <c r="AD577"/>
      <c r="AE577"/>
    </row>
    <row r="578" spans="15:31" x14ac:dyDescent="0.25">
      <c r="O578" s="52"/>
      <c r="P578" s="52"/>
      <c r="AD578"/>
      <c r="AE578"/>
    </row>
    <row r="579" spans="15:31" x14ac:dyDescent="0.25">
      <c r="O579" s="52"/>
      <c r="P579" s="52"/>
      <c r="AD579"/>
      <c r="AE579"/>
    </row>
    <row r="580" spans="15:31" x14ac:dyDescent="0.25">
      <c r="O580" s="52"/>
      <c r="P580" s="52"/>
      <c r="AD580"/>
      <c r="AE580"/>
    </row>
    <row r="581" spans="15:31" x14ac:dyDescent="0.25">
      <c r="O581" s="52"/>
      <c r="P581" s="52"/>
      <c r="AD581"/>
      <c r="AE581"/>
    </row>
    <row r="582" spans="15:31" x14ac:dyDescent="0.25">
      <c r="O582" s="52"/>
      <c r="P582" s="52"/>
      <c r="AD582"/>
      <c r="AE582"/>
    </row>
    <row r="583" spans="15:31" x14ac:dyDescent="0.25">
      <c r="O583" s="52"/>
      <c r="P583" s="52"/>
      <c r="AD583"/>
      <c r="AE583"/>
    </row>
    <row r="584" spans="15:31" x14ac:dyDescent="0.25">
      <c r="O584" s="52"/>
      <c r="P584" s="52"/>
      <c r="AD584"/>
      <c r="AE584"/>
    </row>
    <row r="585" spans="15:31" x14ac:dyDescent="0.25">
      <c r="O585" s="52"/>
      <c r="P585" s="52"/>
      <c r="AD585"/>
      <c r="AE585"/>
    </row>
    <row r="586" spans="15:31" x14ac:dyDescent="0.25">
      <c r="O586" s="52"/>
      <c r="P586" s="52"/>
      <c r="AD586"/>
      <c r="AE586"/>
    </row>
    <row r="587" spans="15:31" x14ac:dyDescent="0.25">
      <c r="O587" s="52"/>
      <c r="P587" s="52"/>
      <c r="AD587"/>
      <c r="AE587"/>
    </row>
    <row r="588" spans="15:31" x14ac:dyDescent="0.25">
      <c r="O588" s="52"/>
      <c r="P588" s="52"/>
      <c r="AD588"/>
      <c r="AE588"/>
    </row>
    <row r="589" spans="15:31" x14ac:dyDescent="0.25">
      <c r="O589" s="52"/>
      <c r="P589" s="52"/>
      <c r="AD589"/>
      <c r="AE589"/>
    </row>
    <row r="590" spans="15:31" x14ac:dyDescent="0.25">
      <c r="O590" s="52"/>
      <c r="P590" s="52"/>
      <c r="AD590"/>
      <c r="AE590"/>
    </row>
    <row r="591" spans="15:31" x14ac:dyDescent="0.25">
      <c r="O591" s="52"/>
      <c r="P591" s="52"/>
      <c r="AD591"/>
      <c r="AE591"/>
    </row>
    <row r="592" spans="15:31" x14ac:dyDescent="0.25">
      <c r="O592" s="52"/>
      <c r="P592" s="52"/>
      <c r="AD592"/>
      <c r="AE592"/>
    </row>
    <row r="593" spans="15:31" x14ac:dyDescent="0.25">
      <c r="O593" s="52"/>
      <c r="P593" s="52"/>
      <c r="AD593"/>
      <c r="AE593"/>
    </row>
    <row r="594" spans="15:31" x14ac:dyDescent="0.25">
      <c r="O594" s="52"/>
      <c r="P594" s="52"/>
      <c r="AD594"/>
      <c r="AE594"/>
    </row>
    <row r="595" spans="15:31" x14ac:dyDescent="0.25">
      <c r="O595" s="52"/>
      <c r="P595" s="52"/>
      <c r="AD595"/>
      <c r="AE595"/>
    </row>
    <row r="596" spans="15:31" x14ac:dyDescent="0.25">
      <c r="O596" s="52"/>
      <c r="P596" s="52"/>
      <c r="AD596"/>
      <c r="AE596"/>
    </row>
    <row r="597" spans="15:31" x14ac:dyDescent="0.25">
      <c r="O597" s="52"/>
      <c r="P597" s="52"/>
      <c r="AD597"/>
      <c r="AE597"/>
    </row>
    <row r="598" spans="15:31" x14ac:dyDescent="0.25">
      <c r="O598" s="52"/>
      <c r="P598" s="52"/>
      <c r="AD598"/>
      <c r="AE598"/>
    </row>
    <row r="599" spans="15:31" x14ac:dyDescent="0.25">
      <c r="O599" s="52"/>
      <c r="P599" s="52"/>
      <c r="AD599"/>
      <c r="AE599"/>
    </row>
    <row r="600" spans="15:31" x14ac:dyDescent="0.25">
      <c r="O600" s="52"/>
      <c r="P600" s="52"/>
      <c r="AD600"/>
      <c r="AE600"/>
    </row>
    <row r="601" spans="15:31" x14ac:dyDescent="0.25">
      <c r="O601" s="52"/>
      <c r="P601" s="52"/>
      <c r="AD601"/>
      <c r="AE601"/>
    </row>
    <row r="602" spans="15:31" x14ac:dyDescent="0.25">
      <c r="O602" s="52"/>
      <c r="P602" s="52"/>
      <c r="AD602"/>
      <c r="AE602"/>
    </row>
    <row r="603" spans="15:31" x14ac:dyDescent="0.25">
      <c r="O603" s="52"/>
      <c r="P603" s="52"/>
      <c r="AD603"/>
      <c r="AE603"/>
    </row>
    <row r="604" spans="15:31" x14ac:dyDescent="0.25">
      <c r="O604" s="52"/>
      <c r="P604" s="52"/>
      <c r="AD604"/>
      <c r="AE604"/>
    </row>
    <row r="605" spans="15:31" x14ac:dyDescent="0.25">
      <c r="O605" s="52"/>
      <c r="P605" s="52"/>
      <c r="AD605"/>
      <c r="AE605"/>
    </row>
    <row r="606" spans="15:31" x14ac:dyDescent="0.25">
      <c r="O606" s="52"/>
      <c r="P606" s="52"/>
      <c r="AD606"/>
      <c r="AE606"/>
    </row>
    <row r="607" spans="15:31" x14ac:dyDescent="0.25">
      <c r="O607" s="52"/>
      <c r="P607" s="52"/>
      <c r="AD607"/>
      <c r="AE607"/>
    </row>
    <row r="608" spans="15:31" x14ac:dyDescent="0.25">
      <c r="O608" s="52"/>
      <c r="P608" s="52"/>
      <c r="AD608"/>
      <c r="AE608"/>
    </row>
    <row r="609" spans="15:31" x14ac:dyDescent="0.25">
      <c r="O609" s="52"/>
      <c r="P609" s="52"/>
      <c r="AD609"/>
      <c r="AE609"/>
    </row>
    <row r="610" spans="15:31" x14ac:dyDescent="0.25">
      <c r="O610" s="52"/>
      <c r="P610" s="52"/>
      <c r="AD610"/>
      <c r="AE610"/>
    </row>
    <row r="611" spans="15:31" x14ac:dyDescent="0.25">
      <c r="O611" s="52"/>
      <c r="P611" s="52"/>
      <c r="AD611"/>
      <c r="AE611"/>
    </row>
    <row r="612" spans="15:31" x14ac:dyDescent="0.25">
      <c r="O612" s="52"/>
      <c r="P612" s="52"/>
      <c r="AD612"/>
      <c r="AE612"/>
    </row>
    <row r="613" spans="15:31" x14ac:dyDescent="0.25">
      <c r="O613" s="52"/>
      <c r="P613" s="52"/>
      <c r="AD613"/>
      <c r="AE613"/>
    </row>
    <row r="614" spans="15:31" x14ac:dyDescent="0.25">
      <c r="O614" s="52"/>
      <c r="P614" s="52"/>
      <c r="AD614"/>
      <c r="AE614"/>
    </row>
    <row r="615" spans="15:31" x14ac:dyDescent="0.25">
      <c r="O615" s="52"/>
      <c r="P615" s="52"/>
      <c r="AD615"/>
      <c r="AE615"/>
    </row>
    <row r="616" spans="15:31" x14ac:dyDescent="0.25">
      <c r="O616" s="52"/>
      <c r="P616" s="52"/>
      <c r="AD616"/>
      <c r="AE616"/>
    </row>
    <row r="617" spans="15:31" x14ac:dyDescent="0.25">
      <c r="O617" s="52"/>
      <c r="P617" s="52"/>
      <c r="AD617"/>
      <c r="AE617"/>
    </row>
    <row r="618" spans="15:31" x14ac:dyDescent="0.25">
      <c r="O618" s="52"/>
      <c r="P618" s="52"/>
      <c r="AD618"/>
      <c r="AE618"/>
    </row>
    <row r="619" spans="15:31" x14ac:dyDescent="0.25">
      <c r="O619" s="52"/>
      <c r="P619" s="52"/>
      <c r="AD619"/>
      <c r="AE619"/>
    </row>
    <row r="620" spans="15:31" x14ac:dyDescent="0.25">
      <c r="O620" s="52"/>
      <c r="P620" s="52"/>
      <c r="AD620"/>
      <c r="AE620"/>
    </row>
    <row r="621" spans="15:31" x14ac:dyDescent="0.25">
      <c r="O621" s="52"/>
      <c r="P621" s="52"/>
      <c r="AD621"/>
      <c r="AE621"/>
    </row>
    <row r="622" spans="15:31" x14ac:dyDescent="0.25">
      <c r="O622" s="52"/>
      <c r="P622" s="52"/>
      <c r="AD622"/>
      <c r="AE622"/>
    </row>
    <row r="623" spans="15:31" x14ac:dyDescent="0.25">
      <c r="O623" s="52"/>
      <c r="P623" s="52"/>
      <c r="AD623"/>
      <c r="AE623"/>
    </row>
    <row r="624" spans="15:31" x14ac:dyDescent="0.25">
      <c r="O624" s="52"/>
      <c r="P624" s="52"/>
      <c r="AD624"/>
      <c r="AE624"/>
    </row>
    <row r="625" spans="15:31" x14ac:dyDescent="0.25">
      <c r="O625" s="52"/>
      <c r="P625" s="52"/>
      <c r="AD625"/>
      <c r="AE625"/>
    </row>
    <row r="626" spans="15:31" x14ac:dyDescent="0.25">
      <c r="O626" s="52"/>
      <c r="P626" s="52"/>
      <c r="AD626"/>
      <c r="AE626"/>
    </row>
    <row r="627" spans="15:31" x14ac:dyDescent="0.25">
      <c r="O627" s="52"/>
      <c r="P627" s="52"/>
      <c r="AD627"/>
      <c r="AE627"/>
    </row>
    <row r="628" spans="15:31" x14ac:dyDescent="0.25">
      <c r="O628" s="52"/>
      <c r="P628" s="52"/>
      <c r="AD628"/>
      <c r="AE628"/>
    </row>
    <row r="629" spans="15:31" x14ac:dyDescent="0.25">
      <c r="O629" s="52"/>
      <c r="P629" s="52"/>
      <c r="AD629"/>
      <c r="AE629"/>
    </row>
    <row r="630" spans="15:31" x14ac:dyDescent="0.25">
      <c r="O630" s="52"/>
      <c r="P630" s="52"/>
      <c r="AD630"/>
      <c r="AE630"/>
    </row>
    <row r="631" spans="15:31" x14ac:dyDescent="0.25">
      <c r="O631" s="52"/>
      <c r="P631" s="52"/>
      <c r="AD631"/>
      <c r="AE631"/>
    </row>
    <row r="632" spans="15:31" x14ac:dyDescent="0.25">
      <c r="O632" s="52"/>
      <c r="P632" s="52"/>
      <c r="AD632"/>
      <c r="AE632"/>
    </row>
    <row r="633" spans="15:31" x14ac:dyDescent="0.25">
      <c r="O633" s="52"/>
      <c r="P633" s="52"/>
      <c r="AD633"/>
      <c r="AE633"/>
    </row>
    <row r="634" spans="15:31" x14ac:dyDescent="0.25">
      <c r="O634" s="52"/>
      <c r="P634" s="52"/>
      <c r="AD634"/>
      <c r="AE634"/>
    </row>
    <row r="635" spans="15:31" x14ac:dyDescent="0.25">
      <c r="O635" s="52"/>
      <c r="P635" s="52"/>
      <c r="AD635"/>
      <c r="AE635"/>
    </row>
    <row r="636" spans="15:31" x14ac:dyDescent="0.25">
      <c r="O636" s="52"/>
      <c r="P636" s="52"/>
      <c r="AD636"/>
      <c r="AE636"/>
    </row>
    <row r="637" spans="15:31" x14ac:dyDescent="0.25">
      <c r="O637" s="52"/>
      <c r="P637" s="52"/>
      <c r="AD637"/>
      <c r="AE637"/>
    </row>
    <row r="638" spans="15:31" x14ac:dyDescent="0.25">
      <c r="O638" s="52"/>
      <c r="P638" s="52"/>
      <c r="AD638"/>
      <c r="AE638"/>
    </row>
    <row r="639" spans="15:31" x14ac:dyDescent="0.25">
      <c r="O639" s="52"/>
      <c r="P639" s="52"/>
      <c r="AD639"/>
      <c r="AE639"/>
    </row>
    <row r="640" spans="15:31" x14ac:dyDescent="0.25">
      <c r="O640" s="52"/>
      <c r="P640" s="52"/>
      <c r="AD640"/>
      <c r="AE640"/>
    </row>
    <row r="641" spans="15:31" x14ac:dyDescent="0.25">
      <c r="O641" s="52"/>
      <c r="P641" s="52"/>
      <c r="AD641"/>
      <c r="AE641"/>
    </row>
    <row r="642" spans="15:31" x14ac:dyDescent="0.25">
      <c r="O642" s="52"/>
      <c r="P642" s="52"/>
      <c r="AD642"/>
      <c r="AE642"/>
    </row>
    <row r="643" spans="15:31" x14ac:dyDescent="0.25">
      <c r="O643" s="52"/>
      <c r="P643" s="52"/>
      <c r="AD643"/>
      <c r="AE643"/>
    </row>
    <row r="644" spans="15:31" x14ac:dyDescent="0.25">
      <c r="O644" s="52"/>
      <c r="P644" s="52"/>
      <c r="AD644"/>
      <c r="AE644"/>
    </row>
    <row r="645" spans="15:31" x14ac:dyDescent="0.25">
      <c r="O645" s="52"/>
      <c r="P645" s="52"/>
      <c r="AD645"/>
      <c r="AE645"/>
    </row>
    <row r="646" spans="15:31" x14ac:dyDescent="0.25">
      <c r="O646" s="52"/>
      <c r="P646" s="52"/>
      <c r="AD646"/>
      <c r="AE646"/>
    </row>
    <row r="647" spans="15:31" x14ac:dyDescent="0.25">
      <c r="O647" s="52"/>
      <c r="P647" s="52"/>
      <c r="AD647"/>
      <c r="AE647"/>
    </row>
    <row r="648" spans="15:31" x14ac:dyDescent="0.25">
      <c r="O648" s="52"/>
      <c r="P648" s="52"/>
      <c r="AD648"/>
      <c r="AE648"/>
    </row>
    <row r="649" spans="15:31" x14ac:dyDescent="0.25">
      <c r="O649" s="52"/>
      <c r="P649" s="52"/>
      <c r="AD649"/>
      <c r="AE649"/>
    </row>
    <row r="650" spans="15:31" x14ac:dyDescent="0.25">
      <c r="O650" s="52"/>
      <c r="P650" s="52"/>
      <c r="AD650"/>
      <c r="AE650"/>
    </row>
    <row r="651" spans="15:31" x14ac:dyDescent="0.25">
      <c r="O651" s="52"/>
      <c r="P651" s="52"/>
      <c r="AD651"/>
      <c r="AE651"/>
    </row>
    <row r="652" spans="15:31" x14ac:dyDescent="0.25">
      <c r="O652" s="52"/>
      <c r="P652" s="52"/>
      <c r="AD652"/>
      <c r="AE652"/>
    </row>
    <row r="653" spans="15:31" x14ac:dyDescent="0.25">
      <c r="O653" s="52"/>
      <c r="P653" s="52"/>
      <c r="AD653"/>
      <c r="AE653"/>
    </row>
    <row r="654" spans="15:31" x14ac:dyDescent="0.25">
      <c r="O654" s="52"/>
      <c r="P654" s="52"/>
      <c r="AD654"/>
      <c r="AE654"/>
    </row>
    <row r="655" spans="15:31" x14ac:dyDescent="0.25">
      <c r="O655" s="52"/>
      <c r="P655" s="52"/>
      <c r="AD655"/>
      <c r="AE655"/>
    </row>
    <row r="656" spans="15:31" x14ac:dyDescent="0.25">
      <c r="O656" s="52"/>
      <c r="P656" s="52"/>
      <c r="AD656"/>
      <c r="AE656"/>
    </row>
    <row r="657" spans="15:31" x14ac:dyDescent="0.25">
      <c r="O657" s="52"/>
      <c r="P657" s="52"/>
      <c r="AD657"/>
      <c r="AE657"/>
    </row>
    <row r="658" spans="15:31" x14ac:dyDescent="0.25">
      <c r="O658" s="52"/>
      <c r="P658" s="52"/>
      <c r="AD658"/>
      <c r="AE658"/>
    </row>
    <row r="659" spans="15:31" x14ac:dyDescent="0.25">
      <c r="O659" s="52"/>
      <c r="P659" s="52"/>
      <c r="AD659"/>
      <c r="AE659"/>
    </row>
    <row r="660" spans="15:31" x14ac:dyDescent="0.25">
      <c r="O660" s="52"/>
      <c r="P660" s="52"/>
      <c r="AD660"/>
      <c r="AE660"/>
    </row>
    <row r="661" spans="15:31" x14ac:dyDescent="0.25">
      <c r="O661" s="52"/>
      <c r="P661" s="52"/>
      <c r="AD661"/>
      <c r="AE661"/>
    </row>
    <row r="662" spans="15:31" x14ac:dyDescent="0.25">
      <c r="O662" s="52"/>
      <c r="P662" s="52"/>
      <c r="AD662"/>
      <c r="AE662"/>
    </row>
    <row r="663" spans="15:31" x14ac:dyDescent="0.25">
      <c r="O663" s="52"/>
      <c r="P663" s="52"/>
      <c r="AD663"/>
      <c r="AE663"/>
    </row>
    <row r="664" spans="15:31" x14ac:dyDescent="0.25">
      <c r="O664" s="52"/>
      <c r="P664" s="52"/>
      <c r="AD664"/>
      <c r="AE664"/>
    </row>
    <row r="665" spans="15:31" x14ac:dyDescent="0.25">
      <c r="O665" s="52"/>
      <c r="P665" s="52"/>
      <c r="AD665"/>
      <c r="AE665"/>
    </row>
    <row r="666" spans="15:31" x14ac:dyDescent="0.25">
      <c r="O666" s="52"/>
      <c r="P666" s="52"/>
      <c r="AD666"/>
      <c r="AE666"/>
    </row>
    <row r="667" spans="15:31" x14ac:dyDescent="0.25">
      <c r="O667" s="52"/>
      <c r="P667" s="52"/>
      <c r="AD667"/>
      <c r="AE667"/>
    </row>
    <row r="668" spans="15:31" x14ac:dyDescent="0.25">
      <c r="O668" s="52"/>
      <c r="P668" s="52"/>
      <c r="AD668"/>
      <c r="AE668"/>
    </row>
    <row r="669" spans="15:31" x14ac:dyDescent="0.25">
      <c r="O669" s="52"/>
      <c r="P669" s="52"/>
      <c r="AD669"/>
      <c r="AE669"/>
    </row>
    <row r="670" spans="15:31" x14ac:dyDescent="0.25">
      <c r="O670" s="52"/>
      <c r="P670" s="52"/>
      <c r="AD670"/>
      <c r="AE670"/>
    </row>
    <row r="671" spans="15:31" x14ac:dyDescent="0.25">
      <c r="O671" s="52"/>
      <c r="P671" s="52"/>
      <c r="AD671"/>
      <c r="AE671"/>
    </row>
    <row r="672" spans="15:31" x14ac:dyDescent="0.25">
      <c r="O672" s="52"/>
      <c r="P672" s="52"/>
      <c r="AD672"/>
      <c r="AE672"/>
    </row>
    <row r="673" spans="15:31" x14ac:dyDescent="0.25">
      <c r="O673" s="52"/>
      <c r="P673" s="52"/>
      <c r="AD673"/>
      <c r="AE673"/>
    </row>
    <row r="674" spans="15:31" x14ac:dyDescent="0.25">
      <c r="O674" s="52"/>
      <c r="P674" s="52"/>
      <c r="AD674"/>
      <c r="AE674"/>
    </row>
    <row r="675" spans="15:31" x14ac:dyDescent="0.25">
      <c r="O675" s="52"/>
      <c r="P675" s="52"/>
      <c r="AD675"/>
      <c r="AE675"/>
    </row>
    <row r="676" spans="15:31" x14ac:dyDescent="0.25">
      <c r="O676" s="52"/>
      <c r="P676" s="52"/>
      <c r="AD676"/>
      <c r="AE676"/>
    </row>
    <row r="677" spans="15:31" x14ac:dyDescent="0.25">
      <c r="O677" s="52"/>
      <c r="P677" s="52"/>
      <c r="AD677"/>
      <c r="AE677"/>
    </row>
    <row r="678" spans="15:31" x14ac:dyDescent="0.25">
      <c r="O678" s="52"/>
      <c r="P678" s="52"/>
      <c r="AD678"/>
      <c r="AE678"/>
    </row>
    <row r="679" spans="15:31" x14ac:dyDescent="0.25">
      <c r="O679" s="52"/>
      <c r="P679" s="52"/>
      <c r="AD679"/>
      <c r="AE679"/>
    </row>
    <row r="680" spans="15:31" x14ac:dyDescent="0.25">
      <c r="O680" s="52"/>
      <c r="P680" s="52"/>
      <c r="AD680"/>
      <c r="AE680"/>
    </row>
    <row r="681" spans="15:31" x14ac:dyDescent="0.25">
      <c r="O681" s="52"/>
      <c r="P681" s="52"/>
      <c r="AD681"/>
      <c r="AE681"/>
    </row>
    <row r="682" spans="15:31" x14ac:dyDescent="0.25">
      <c r="O682" s="52"/>
      <c r="P682" s="52"/>
      <c r="AD682"/>
      <c r="AE682"/>
    </row>
    <row r="683" spans="15:31" x14ac:dyDescent="0.25">
      <c r="O683" s="52"/>
      <c r="P683" s="52"/>
      <c r="AD683"/>
      <c r="AE683"/>
    </row>
    <row r="684" spans="15:31" x14ac:dyDescent="0.25">
      <c r="O684" s="52"/>
      <c r="P684" s="52"/>
      <c r="AD684"/>
      <c r="AE684"/>
    </row>
    <row r="685" spans="15:31" x14ac:dyDescent="0.25">
      <c r="O685" s="52"/>
      <c r="P685" s="52"/>
      <c r="AD685"/>
      <c r="AE685"/>
    </row>
    <row r="686" spans="15:31" x14ac:dyDescent="0.25">
      <c r="O686" s="52"/>
      <c r="P686" s="52"/>
      <c r="AD686"/>
      <c r="AE686"/>
    </row>
    <row r="687" spans="15:31" x14ac:dyDescent="0.25">
      <c r="O687" s="52"/>
      <c r="P687" s="52"/>
      <c r="AD687"/>
      <c r="AE687"/>
    </row>
    <row r="688" spans="15:31" x14ac:dyDescent="0.25">
      <c r="O688" s="52"/>
      <c r="P688" s="52"/>
      <c r="AD688"/>
      <c r="AE688"/>
    </row>
    <row r="689" spans="15:31" x14ac:dyDescent="0.25">
      <c r="O689" s="52"/>
      <c r="P689" s="52"/>
      <c r="AD689"/>
      <c r="AE689"/>
    </row>
    <row r="690" spans="15:31" x14ac:dyDescent="0.25">
      <c r="O690" s="52"/>
      <c r="P690" s="52"/>
      <c r="AD690"/>
      <c r="AE690"/>
    </row>
    <row r="691" spans="15:31" x14ac:dyDescent="0.25">
      <c r="O691" s="52"/>
      <c r="P691" s="52"/>
      <c r="AD691"/>
      <c r="AE691"/>
    </row>
    <row r="692" spans="15:31" x14ac:dyDescent="0.25">
      <c r="O692" s="52"/>
      <c r="P692" s="52"/>
      <c r="AD692"/>
      <c r="AE692"/>
    </row>
    <row r="693" spans="15:31" x14ac:dyDescent="0.25">
      <c r="O693" s="52"/>
      <c r="P693" s="52"/>
      <c r="AD693"/>
      <c r="AE693"/>
    </row>
    <row r="694" spans="15:31" x14ac:dyDescent="0.25">
      <c r="O694" s="52"/>
      <c r="P694" s="52"/>
      <c r="AD694"/>
      <c r="AE694"/>
    </row>
    <row r="695" spans="15:31" x14ac:dyDescent="0.25">
      <c r="O695" s="52"/>
      <c r="P695" s="52"/>
      <c r="AD695"/>
      <c r="AE695"/>
    </row>
    <row r="696" spans="15:31" x14ac:dyDescent="0.25">
      <c r="O696" s="52"/>
      <c r="P696" s="52"/>
      <c r="AD696"/>
      <c r="AE696"/>
    </row>
    <row r="697" spans="15:31" x14ac:dyDescent="0.25">
      <c r="O697" s="52"/>
      <c r="P697" s="52"/>
      <c r="AD697"/>
      <c r="AE697"/>
    </row>
    <row r="698" spans="15:31" x14ac:dyDescent="0.25">
      <c r="O698" s="52"/>
      <c r="P698" s="52"/>
      <c r="AD698"/>
      <c r="AE698"/>
    </row>
    <row r="699" spans="15:31" x14ac:dyDescent="0.25">
      <c r="O699" s="52"/>
      <c r="P699" s="52"/>
      <c r="AD699"/>
      <c r="AE699"/>
    </row>
    <row r="700" spans="15:31" x14ac:dyDescent="0.25">
      <c r="O700" s="52"/>
      <c r="P700" s="52"/>
      <c r="AD700"/>
      <c r="AE700"/>
    </row>
    <row r="701" spans="15:31" x14ac:dyDescent="0.25">
      <c r="O701" s="52"/>
      <c r="P701" s="52"/>
      <c r="AD701"/>
      <c r="AE701"/>
    </row>
    <row r="702" spans="15:31" x14ac:dyDescent="0.25">
      <c r="O702" s="52"/>
      <c r="P702" s="52"/>
      <c r="AD702"/>
      <c r="AE702"/>
    </row>
    <row r="703" spans="15:31" x14ac:dyDescent="0.25">
      <c r="O703" s="52"/>
      <c r="P703" s="52"/>
      <c r="AD703"/>
      <c r="AE703"/>
    </row>
    <row r="704" spans="15:31" x14ac:dyDescent="0.25">
      <c r="O704" s="52"/>
      <c r="P704" s="52"/>
      <c r="AD704"/>
      <c r="AE704"/>
    </row>
    <row r="705" spans="15:31" x14ac:dyDescent="0.25">
      <c r="O705" s="52"/>
      <c r="P705" s="52"/>
      <c r="AD705"/>
      <c r="AE705"/>
    </row>
    <row r="706" spans="15:31" x14ac:dyDescent="0.25">
      <c r="O706" s="52"/>
      <c r="P706" s="52"/>
      <c r="AD706"/>
      <c r="AE706"/>
    </row>
    <row r="707" spans="15:31" x14ac:dyDescent="0.25">
      <c r="O707" s="52"/>
      <c r="P707" s="52"/>
      <c r="AD707"/>
      <c r="AE707"/>
    </row>
    <row r="708" spans="15:31" x14ac:dyDescent="0.25">
      <c r="O708" s="52"/>
      <c r="P708" s="52"/>
      <c r="AD708"/>
      <c r="AE708"/>
    </row>
    <row r="709" spans="15:31" x14ac:dyDescent="0.25">
      <c r="O709" s="52"/>
      <c r="P709" s="52"/>
      <c r="AD709"/>
      <c r="AE709"/>
    </row>
    <row r="710" spans="15:31" x14ac:dyDescent="0.25">
      <c r="O710" s="52"/>
      <c r="P710" s="52"/>
      <c r="AD710"/>
      <c r="AE710"/>
    </row>
    <row r="711" spans="15:31" x14ac:dyDescent="0.25">
      <c r="O711" s="52"/>
      <c r="P711" s="52"/>
      <c r="AD711"/>
      <c r="AE711"/>
    </row>
    <row r="712" spans="15:31" x14ac:dyDescent="0.25">
      <c r="O712" s="52"/>
      <c r="P712" s="52"/>
      <c r="AD712"/>
      <c r="AE712"/>
    </row>
    <row r="713" spans="15:31" x14ac:dyDescent="0.25">
      <c r="O713" s="52"/>
      <c r="P713" s="52"/>
      <c r="AD713"/>
      <c r="AE713"/>
    </row>
    <row r="714" spans="15:31" x14ac:dyDescent="0.25">
      <c r="O714" s="52"/>
      <c r="P714" s="52"/>
      <c r="AD714"/>
      <c r="AE714"/>
    </row>
    <row r="715" spans="15:31" x14ac:dyDescent="0.25">
      <c r="O715" s="52"/>
      <c r="P715" s="52"/>
      <c r="AD715"/>
      <c r="AE715"/>
    </row>
    <row r="716" spans="15:31" x14ac:dyDescent="0.25">
      <c r="O716" s="52"/>
      <c r="P716" s="52"/>
      <c r="AD716"/>
      <c r="AE716"/>
    </row>
    <row r="717" spans="15:31" x14ac:dyDescent="0.25">
      <c r="O717" s="52"/>
      <c r="P717" s="52"/>
      <c r="AD717"/>
      <c r="AE717"/>
    </row>
    <row r="718" spans="15:31" x14ac:dyDescent="0.25">
      <c r="O718" s="52"/>
      <c r="P718" s="52"/>
      <c r="AD718"/>
      <c r="AE718"/>
    </row>
    <row r="719" spans="15:31" x14ac:dyDescent="0.25">
      <c r="O719" s="52"/>
      <c r="P719" s="52"/>
      <c r="AD719"/>
      <c r="AE719"/>
    </row>
    <row r="720" spans="15:31" x14ac:dyDescent="0.25">
      <c r="O720" s="52"/>
      <c r="P720" s="52"/>
      <c r="AD720"/>
      <c r="AE720"/>
    </row>
    <row r="721" spans="15:31" x14ac:dyDescent="0.25">
      <c r="O721" s="52"/>
      <c r="P721" s="52"/>
      <c r="AD721"/>
      <c r="AE721"/>
    </row>
    <row r="722" spans="15:31" x14ac:dyDescent="0.25">
      <c r="O722" s="52"/>
      <c r="P722" s="52"/>
      <c r="AD722"/>
      <c r="AE722"/>
    </row>
    <row r="723" spans="15:31" x14ac:dyDescent="0.25">
      <c r="O723" s="52"/>
      <c r="P723" s="52"/>
      <c r="AD723"/>
      <c r="AE723"/>
    </row>
    <row r="724" spans="15:31" x14ac:dyDescent="0.25">
      <c r="O724" s="52"/>
      <c r="P724" s="52"/>
      <c r="AD724"/>
      <c r="AE724"/>
    </row>
    <row r="725" spans="15:31" x14ac:dyDescent="0.25">
      <c r="O725" s="52"/>
      <c r="P725" s="52"/>
      <c r="AD725"/>
      <c r="AE725"/>
    </row>
    <row r="726" spans="15:31" x14ac:dyDescent="0.25">
      <c r="O726" s="52"/>
      <c r="P726" s="52"/>
      <c r="AD726"/>
      <c r="AE726"/>
    </row>
    <row r="727" spans="15:31" x14ac:dyDescent="0.25">
      <c r="O727" s="52"/>
      <c r="P727" s="52"/>
      <c r="AD727"/>
      <c r="AE727"/>
    </row>
    <row r="728" spans="15:31" x14ac:dyDescent="0.25">
      <c r="O728" s="52"/>
      <c r="P728" s="52"/>
      <c r="AD728"/>
      <c r="AE728"/>
    </row>
    <row r="729" spans="15:31" x14ac:dyDescent="0.25">
      <c r="O729" s="52"/>
      <c r="P729" s="52"/>
      <c r="AD729"/>
      <c r="AE729"/>
    </row>
    <row r="730" spans="15:31" x14ac:dyDescent="0.25">
      <c r="O730" s="52"/>
      <c r="P730" s="52"/>
      <c r="AD730"/>
      <c r="AE730"/>
    </row>
    <row r="731" spans="15:31" x14ac:dyDescent="0.25">
      <c r="O731" s="52"/>
      <c r="P731" s="52"/>
      <c r="AD731"/>
      <c r="AE731"/>
    </row>
    <row r="732" spans="15:31" x14ac:dyDescent="0.25">
      <c r="O732" s="52"/>
      <c r="P732" s="52"/>
      <c r="AD732"/>
      <c r="AE732"/>
    </row>
    <row r="733" spans="15:31" x14ac:dyDescent="0.25">
      <c r="O733" s="52"/>
      <c r="P733" s="52"/>
      <c r="AD733"/>
      <c r="AE733"/>
    </row>
    <row r="734" spans="15:31" x14ac:dyDescent="0.25">
      <c r="O734" s="52"/>
      <c r="P734" s="52"/>
      <c r="AD734"/>
      <c r="AE734"/>
    </row>
    <row r="735" spans="15:31" x14ac:dyDescent="0.25">
      <c r="O735" s="52"/>
      <c r="P735" s="52"/>
      <c r="AD735"/>
      <c r="AE735"/>
    </row>
    <row r="736" spans="15:31" x14ac:dyDescent="0.25">
      <c r="O736" s="52"/>
      <c r="P736" s="52"/>
      <c r="AD736"/>
      <c r="AE736"/>
    </row>
    <row r="737" spans="15:31" x14ac:dyDescent="0.25">
      <c r="O737" s="52"/>
      <c r="P737" s="52"/>
      <c r="AD737"/>
      <c r="AE737"/>
    </row>
    <row r="738" spans="15:31" x14ac:dyDescent="0.25">
      <c r="O738" s="52"/>
      <c r="P738" s="52"/>
      <c r="AD738"/>
      <c r="AE738"/>
    </row>
    <row r="739" spans="15:31" x14ac:dyDescent="0.25">
      <c r="O739" s="52"/>
      <c r="P739" s="52"/>
      <c r="AD739"/>
      <c r="AE739"/>
    </row>
    <row r="740" spans="15:31" x14ac:dyDescent="0.25">
      <c r="O740" s="52"/>
      <c r="P740" s="52"/>
      <c r="AD740"/>
      <c r="AE740"/>
    </row>
    <row r="741" spans="15:31" x14ac:dyDescent="0.25">
      <c r="O741" s="52"/>
      <c r="P741" s="52"/>
      <c r="AD741"/>
      <c r="AE741"/>
    </row>
    <row r="742" spans="15:31" x14ac:dyDescent="0.25">
      <c r="O742" s="52"/>
      <c r="P742" s="52"/>
      <c r="AD742"/>
      <c r="AE742"/>
    </row>
    <row r="743" spans="15:31" x14ac:dyDescent="0.25">
      <c r="O743" s="52"/>
      <c r="P743" s="52"/>
      <c r="AD743"/>
      <c r="AE743"/>
    </row>
    <row r="744" spans="15:31" x14ac:dyDescent="0.25">
      <c r="O744" s="52"/>
      <c r="P744" s="52"/>
      <c r="AD744"/>
      <c r="AE744"/>
    </row>
    <row r="745" spans="15:31" x14ac:dyDescent="0.25">
      <c r="O745" s="52"/>
      <c r="P745" s="52"/>
      <c r="AD745"/>
      <c r="AE745"/>
    </row>
    <row r="746" spans="15:31" x14ac:dyDescent="0.25">
      <c r="O746" s="52"/>
      <c r="P746" s="52"/>
      <c r="AD746"/>
      <c r="AE746"/>
    </row>
    <row r="747" spans="15:31" x14ac:dyDescent="0.25">
      <c r="O747" s="52"/>
      <c r="P747" s="52"/>
      <c r="AD747"/>
      <c r="AE747"/>
    </row>
    <row r="748" spans="15:31" x14ac:dyDescent="0.25">
      <c r="O748" s="52"/>
      <c r="P748" s="52"/>
      <c r="AD748"/>
      <c r="AE748"/>
    </row>
    <row r="749" spans="15:31" x14ac:dyDescent="0.25">
      <c r="O749" s="52"/>
      <c r="P749" s="52"/>
      <c r="AD749"/>
      <c r="AE749"/>
    </row>
    <row r="750" spans="15:31" x14ac:dyDescent="0.25">
      <c r="O750" s="52"/>
      <c r="P750" s="52"/>
      <c r="AD750"/>
      <c r="AE750"/>
    </row>
    <row r="751" spans="15:31" x14ac:dyDescent="0.25">
      <c r="O751" s="52"/>
      <c r="P751" s="52"/>
      <c r="AD751"/>
      <c r="AE751"/>
    </row>
    <row r="752" spans="15:31" x14ac:dyDescent="0.25">
      <c r="O752" s="52"/>
      <c r="P752" s="52"/>
      <c r="AD752"/>
      <c r="AE752"/>
    </row>
    <row r="753" spans="15:31" x14ac:dyDescent="0.25">
      <c r="O753" s="52"/>
      <c r="P753" s="52"/>
      <c r="AD753"/>
      <c r="AE753"/>
    </row>
    <row r="754" spans="15:31" x14ac:dyDescent="0.25">
      <c r="O754" s="52"/>
      <c r="P754" s="52"/>
      <c r="AD754"/>
      <c r="AE754"/>
    </row>
    <row r="755" spans="15:31" x14ac:dyDescent="0.25">
      <c r="O755" s="52"/>
      <c r="P755" s="52"/>
      <c r="AD755"/>
      <c r="AE755"/>
    </row>
    <row r="756" spans="15:31" x14ac:dyDescent="0.25">
      <c r="O756" s="52"/>
      <c r="P756" s="52"/>
      <c r="AD756"/>
      <c r="AE756"/>
    </row>
    <row r="757" spans="15:31" x14ac:dyDescent="0.25">
      <c r="O757" s="52"/>
      <c r="P757" s="52"/>
      <c r="AD757"/>
      <c r="AE757"/>
    </row>
    <row r="758" spans="15:31" x14ac:dyDescent="0.25">
      <c r="O758" s="52"/>
      <c r="P758" s="52"/>
      <c r="AD758"/>
      <c r="AE758"/>
    </row>
    <row r="759" spans="15:31" x14ac:dyDescent="0.25">
      <c r="O759" s="52"/>
      <c r="P759" s="52"/>
      <c r="AD759"/>
      <c r="AE759"/>
    </row>
    <row r="760" spans="15:31" x14ac:dyDescent="0.25">
      <c r="O760" s="52"/>
      <c r="P760" s="52"/>
      <c r="AD760"/>
      <c r="AE760"/>
    </row>
    <row r="761" spans="15:31" x14ac:dyDescent="0.25">
      <c r="O761" s="52"/>
      <c r="P761" s="52"/>
      <c r="AD761"/>
      <c r="AE761"/>
    </row>
    <row r="762" spans="15:31" x14ac:dyDescent="0.25">
      <c r="O762" s="52"/>
      <c r="P762" s="52"/>
      <c r="AD762"/>
      <c r="AE762"/>
    </row>
    <row r="763" spans="15:31" x14ac:dyDescent="0.25">
      <c r="O763" s="52"/>
      <c r="P763" s="52"/>
      <c r="AD763"/>
      <c r="AE763"/>
    </row>
    <row r="764" spans="15:31" x14ac:dyDescent="0.25">
      <c r="O764" s="52"/>
      <c r="P764" s="52"/>
      <c r="AD764"/>
      <c r="AE764"/>
    </row>
    <row r="765" spans="15:31" x14ac:dyDescent="0.25">
      <c r="O765" s="52"/>
      <c r="P765" s="52"/>
      <c r="AD765"/>
      <c r="AE765"/>
    </row>
    <row r="766" spans="15:31" x14ac:dyDescent="0.25">
      <c r="O766" s="52"/>
      <c r="P766" s="52"/>
      <c r="AD766"/>
      <c r="AE766"/>
    </row>
    <row r="767" spans="15:31" x14ac:dyDescent="0.25">
      <c r="O767" s="52"/>
      <c r="P767" s="52"/>
      <c r="AD767"/>
      <c r="AE767"/>
    </row>
    <row r="768" spans="15:31" x14ac:dyDescent="0.25">
      <c r="O768" s="52"/>
      <c r="P768" s="52"/>
      <c r="AD768"/>
      <c r="AE768"/>
    </row>
    <row r="769" spans="15:31" x14ac:dyDescent="0.25">
      <c r="O769" s="52"/>
      <c r="P769" s="52"/>
      <c r="AD769"/>
      <c r="AE769"/>
    </row>
    <row r="770" spans="15:31" x14ac:dyDescent="0.25">
      <c r="O770" s="52"/>
      <c r="P770" s="52"/>
      <c r="AD770"/>
      <c r="AE770"/>
    </row>
    <row r="771" spans="15:31" x14ac:dyDescent="0.25">
      <c r="O771" s="52"/>
      <c r="P771" s="52"/>
      <c r="AD771"/>
      <c r="AE771"/>
    </row>
    <row r="772" spans="15:31" x14ac:dyDescent="0.25">
      <c r="O772" s="52"/>
      <c r="P772" s="52"/>
      <c r="AD772"/>
      <c r="AE772"/>
    </row>
    <row r="773" spans="15:31" x14ac:dyDescent="0.25">
      <c r="O773" s="52"/>
      <c r="P773" s="52"/>
      <c r="AD773"/>
      <c r="AE773"/>
    </row>
    <row r="774" spans="15:31" x14ac:dyDescent="0.25">
      <c r="O774" s="52"/>
      <c r="P774" s="52"/>
      <c r="AD774"/>
      <c r="AE774"/>
    </row>
    <row r="775" spans="15:31" x14ac:dyDescent="0.25">
      <c r="O775" s="52"/>
      <c r="P775" s="52"/>
      <c r="AD775"/>
      <c r="AE775"/>
    </row>
    <row r="776" spans="15:31" x14ac:dyDescent="0.25">
      <c r="O776" s="52"/>
      <c r="P776" s="52"/>
      <c r="AD776"/>
      <c r="AE776"/>
    </row>
    <row r="777" spans="15:31" x14ac:dyDescent="0.25">
      <c r="O777" s="52"/>
      <c r="P777" s="52"/>
      <c r="AD777"/>
      <c r="AE777"/>
    </row>
    <row r="778" spans="15:31" x14ac:dyDescent="0.25">
      <c r="O778" s="52"/>
      <c r="P778" s="52"/>
      <c r="AD778"/>
      <c r="AE778"/>
    </row>
    <row r="779" spans="15:31" x14ac:dyDescent="0.25">
      <c r="O779" s="52"/>
      <c r="P779" s="52"/>
      <c r="AD779"/>
      <c r="AE779"/>
    </row>
    <row r="780" spans="15:31" x14ac:dyDescent="0.25">
      <c r="O780" s="52"/>
      <c r="P780" s="52"/>
      <c r="AD780"/>
      <c r="AE780"/>
    </row>
    <row r="781" spans="15:31" x14ac:dyDescent="0.25">
      <c r="O781" s="52"/>
      <c r="P781" s="52"/>
      <c r="AD781"/>
      <c r="AE781"/>
    </row>
    <row r="782" spans="15:31" x14ac:dyDescent="0.25">
      <c r="O782" s="52"/>
      <c r="P782" s="52"/>
      <c r="AD782"/>
      <c r="AE782"/>
    </row>
    <row r="783" spans="15:31" x14ac:dyDescent="0.25">
      <c r="O783" s="52"/>
      <c r="P783" s="52"/>
      <c r="AD783"/>
      <c r="AE783"/>
    </row>
    <row r="784" spans="15:31" x14ac:dyDescent="0.25">
      <c r="O784" s="52"/>
      <c r="P784" s="52"/>
      <c r="AD784"/>
      <c r="AE784"/>
    </row>
    <row r="785" spans="15:31" x14ac:dyDescent="0.25">
      <c r="O785" s="52"/>
      <c r="P785" s="52"/>
      <c r="AD785"/>
      <c r="AE785"/>
    </row>
    <row r="786" spans="15:31" x14ac:dyDescent="0.25">
      <c r="O786" s="52"/>
      <c r="P786" s="52"/>
      <c r="AD786"/>
      <c r="AE786"/>
    </row>
    <row r="787" spans="15:31" x14ac:dyDescent="0.25">
      <c r="O787" s="52"/>
      <c r="P787" s="52"/>
      <c r="AD787"/>
      <c r="AE787"/>
    </row>
    <row r="788" spans="15:31" x14ac:dyDescent="0.25">
      <c r="O788" s="52"/>
      <c r="P788" s="52"/>
      <c r="AD788"/>
      <c r="AE788"/>
    </row>
    <row r="789" spans="15:31" x14ac:dyDescent="0.25">
      <c r="O789" s="52"/>
      <c r="P789" s="52"/>
      <c r="AD789"/>
      <c r="AE789"/>
    </row>
    <row r="790" spans="15:31" x14ac:dyDescent="0.25">
      <c r="O790" s="52"/>
      <c r="P790" s="52"/>
      <c r="AD790"/>
      <c r="AE790"/>
    </row>
    <row r="791" spans="15:31" x14ac:dyDescent="0.25">
      <c r="O791" s="52"/>
      <c r="P791" s="52"/>
      <c r="AD791"/>
      <c r="AE791"/>
    </row>
    <row r="792" spans="15:31" x14ac:dyDescent="0.25">
      <c r="O792" s="52"/>
      <c r="P792" s="52"/>
      <c r="AD792"/>
      <c r="AE792"/>
    </row>
    <row r="793" spans="15:31" x14ac:dyDescent="0.25">
      <c r="O793" s="52"/>
      <c r="P793" s="52"/>
      <c r="AD793"/>
      <c r="AE793"/>
    </row>
    <row r="794" spans="15:31" x14ac:dyDescent="0.25">
      <c r="O794" s="52"/>
      <c r="P794" s="52"/>
      <c r="AD794"/>
      <c r="AE794"/>
    </row>
    <row r="795" spans="15:31" x14ac:dyDescent="0.25">
      <c r="O795" s="52"/>
      <c r="P795" s="52"/>
      <c r="AD795"/>
      <c r="AE795"/>
    </row>
    <row r="796" spans="15:31" x14ac:dyDescent="0.25">
      <c r="O796" s="52"/>
      <c r="P796" s="52"/>
      <c r="AD796"/>
      <c r="AE796"/>
    </row>
    <row r="797" spans="15:31" x14ac:dyDescent="0.25">
      <c r="O797" s="52"/>
      <c r="P797" s="52"/>
      <c r="AD797"/>
      <c r="AE797"/>
    </row>
    <row r="798" spans="15:31" x14ac:dyDescent="0.25">
      <c r="O798" s="52"/>
      <c r="P798" s="52"/>
      <c r="AD798"/>
      <c r="AE798"/>
    </row>
    <row r="799" spans="15:31" x14ac:dyDescent="0.25">
      <c r="O799" s="52"/>
      <c r="P799" s="52"/>
      <c r="AD799"/>
      <c r="AE799"/>
    </row>
    <row r="800" spans="15:31" x14ac:dyDescent="0.25">
      <c r="O800" s="52"/>
      <c r="P800" s="52"/>
      <c r="AD800"/>
      <c r="AE800"/>
    </row>
    <row r="801" spans="15:31" x14ac:dyDescent="0.25">
      <c r="O801" s="52"/>
      <c r="P801" s="52"/>
      <c r="AD801"/>
      <c r="AE801"/>
    </row>
    <row r="802" spans="15:31" x14ac:dyDescent="0.25">
      <c r="O802" s="52"/>
      <c r="P802" s="52"/>
      <c r="AD802"/>
      <c r="AE802"/>
    </row>
    <row r="803" spans="15:31" x14ac:dyDescent="0.25">
      <c r="O803" s="52"/>
      <c r="P803" s="52"/>
      <c r="AD803"/>
      <c r="AE803"/>
    </row>
    <row r="804" spans="15:31" x14ac:dyDescent="0.25">
      <c r="O804" s="52"/>
      <c r="P804" s="52"/>
      <c r="AD804"/>
      <c r="AE804"/>
    </row>
    <row r="805" spans="15:31" x14ac:dyDescent="0.25">
      <c r="O805" s="52"/>
      <c r="P805" s="52"/>
      <c r="AD805"/>
      <c r="AE805"/>
    </row>
    <row r="806" spans="15:31" x14ac:dyDescent="0.25">
      <c r="O806" s="52"/>
      <c r="P806" s="52"/>
      <c r="AD806"/>
      <c r="AE806"/>
    </row>
    <row r="807" spans="15:31" x14ac:dyDescent="0.25">
      <c r="O807" s="52"/>
      <c r="P807" s="52"/>
      <c r="AD807"/>
      <c r="AE807"/>
    </row>
    <row r="808" spans="15:31" x14ac:dyDescent="0.25">
      <c r="O808" s="52"/>
      <c r="P808" s="52"/>
      <c r="AD808"/>
      <c r="AE808"/>
    </row>
    <row r="809" spans="15:31" x14ac:dyDescent="0.25">
      <c r="O809" s="52"/>
      <c r="P809" s="52"/>
      <c r="AD809"/>
      <c r="AE809"/>
    </row>
    <row r="810" spans="15:31" x14ac:dyDescent="0.25">
      <c r="O810" s="52"/>
      <c r="P810" s="52"/>
      <c r="AD810"/>
      <c r="AE810"/>
    </row>
    <row r="811" spans="15:31" x14ac:dyDescent="0.25">
      <c r="O811" s="52"/>
      <c r="P811" s="52"/>
      <c r="AD811"/>
      <c r="AE811"/>
    </row>
    <row r="812" spans="15:31" x14ac:dyDescent="0.25">
      <c r="O812" s="52"/>
      <c r="P812" s="52"/>
      <c r="AD812"/>
      <c r="AE812"/>
    </row>
    <row r="813" spans="15:31" x14ac:dyDescent="0.25">
      <c r="O813" s="52"/>
      <c r="P813" s="52"/>
      <c r="AD813"/>
      <c r="AE813"/>
    </row>
    <row r="814" spans="15:31" x14ac:dyDescent="0.25">
      <c r="O814" s="52"/>
      <c r="P814" s="52"/>
      <c r="AD814"/>
      <c r="AE814"/>
    </row>
    <row r="815" spans="15:31" x14ac:dyDescent="0.25">
      <c r="O815" s="52"/>
      <c r="P815" s="52"/>
      <c r="AD815"/>
      <c r="AE815"/>
    </row>
    <row r="816" spans="15:31" x14ac:dyDescent="0.25">
      <c r="O816" s="52"/>
      <c r="P816" s="52"/>
      <c r="AD816"/>
      <c r="AE816"/>
    </row>
    <row r="817" spans="15:31" x14ac:dyDescent="0.25">
      <c r="O817" s="52"/>
      <c r="P817" s="52"/>
      <c r="AD817"/>
      <c r="AE817"/>
    </row>
    <row r="818" spans="15:31" x14ac:dyDescent="0.25">
      <c r="O818" s="52"/>
      <c r="P818" s="52"/>
      <c r="AD818"/>
      <c r="AE818"/>
    </row>
    <row r="819" spans="15:31" x14ac:dyDescent="0.25">
      <c r="O819" s="52"/>
      <c r="P819" s="52"/>
      <c r="AD819"/>
      <c r="AE819"/>
    </row>
    <row r="820" spans="15:31" x14ac:dyDescent="0.25">
      <c r="O820" s="52"/>
      <c r="P820" s="52"/>
      <c r="AD820"/>
      <c r="AE820"/>
    </row>
    <row r="821" spans="15:31" x14ac:dyDescent="0.25">
      <c r="O821" s="52"/>
      <c r="P821" s="52"/>
      <c r="AD821"/>
      <c r="AE821"/>
    </row>
    <row r="822" spans="15:31" x14ac:dyDescent="0.25">
      <c r="O822" s="52"/>
      <c r="P822" s="52"/>
      <c r="AD822"/>
      <c r="AE822"/>
    </row>
    <row r="823" spans="15:31" x14ac:dyDescent="0.25">
      <c r="O823" s="52"/>
      <c r="P823" s="52"/>
      <c r="AD823"/>
      <c r="AE823"/>
    </row>
    <row r="824" spans="15:31" x14ac:dyDescent="0.25">
      <c r="O824" s="52"/>
      <c r="P824" s="52"/>
      <c r="AD824"/>
      <c r="AE824"/>
    </row>
    <row r="825" spans="15:31" x14ac:dyDescent="0.25">
      <c r="O825" s="52"/>
      <c r="P825" s="52"/>
      <c r="AD825"/>
      <c r="AE825"/>
    </row>
    <row r="826" spans="15:31" x14ac:dyDescent="0.25">
      <c r="O826" s="52"/>
      <c r="P826" s="52"/>
      <c r="AD826"/>
      <c r="AE826"/>
    </row>
    <row r="827" spans="15:31" x14ac:dyDescent="0.25">
      <c r="O827" s="52"/>
      <c r="P827" s="52"/>
      <c r="AD827"/>
      <c r="AE827"/>
    </row>
    <row r="828" spans="15:31" x14ac:dyDescent="0.25">
      <c r="O828" s="52"/>
      <c r="P828" s="52"/>
      <c r="AD828"/>
      <c r="AE828"/>
    </row>
    <row r="829" spans="15:31" x14ac:dyDescent="0.25">
      <c r="O829" s="52"/>
      <c r="P829" s="52"/>
      <c r="AD829"/>
      <c r="AE829"/>
    </row>
    <row r="830" spans="15:31" x14ac:dyDescent="0.25">
      <c r="O830" s="52"/>
      <c r="P830" s="52"/>
      <c r="AD830"/>
      <c r="AE830"/>
    </row>
    <row r="831" spans="15:31" x14ac:dyDescent="0.25">
      <c r="O831" s="52"/>
      <c r="P831" s="52"/>
      <c r="AD831"/>
      <c r="AE831"/>
    </row>
    <row r="832" spans="15:31" x14ac:dyDescent="0.25">
      <c r="O832" s="52"/>
      <c r="P832" s="52"/>
      <c r="AD832"/>
      <c r="AE832"/>
    </row>
    <row r="833" spans="15:31" x14ac:dyDescent="0.25">
      <c r="O833" s="52"/>
      <c r="P833" s="52"/>
      <c r="AD833"/>
      <c r="AE833"/>
    </row>
    <row r="834" spans="15:31" x14ac:dyDescent="0.25">
      <c r="O834" s="52"/>
      <c r="P834" s="52"/>
      <c r="AD834"/>
      <c r="AE834"/>
    </row>
    <row r="835" spans="15:31" x14ac:dyDescent="0.25">
      <c r="O835" s="52"/>
      <c r="P835" s="52"/>
      <c r="AD835"/>
      <c r="AE835"/>
    </row>
    <row r="836" spans="15:31" x14ac:dyDescent="0.25">
      <c r="O836" s="52"/>
      <c r="P836" s="52"/>
      <c r="AD836"/>
      <c r="AE836"/>
    </row>
    <row r="837" spans="15:31" x14ac:dyDescent="0.25">
      <c r="O837" s="52"/>
      <c r="P837" s="52"/>
      <c r="AD837"/>
      <c r="AE837"/>
    </row>
    <row r="838" spans="15:31" x14ac:dyDescent="0.25">
      <c r="O838" s="52"/>
      <c r="P838" s="52"/>
      <c r="AD838"/>
      <c r="AE838"/>
    </row>
    <row r="839" spans="15:31" x14ac:dyDescent="0.25">
      <c r="O839" s="52"/>
      <c r="P839" s="52"/>
      <c r="AD839"/>
      <c r="AE839"/>
    </row>
    <row r="840" spans="15:31" x14ac:dyDescent="0.25">
      <c r="O840" s="52"/>
      <c r="P840" s="52"/>
      <c r="AD840"/>
      <c r="AE840"/>
    </row>
    <row r="841" spans="15:31" x14ac:dyDescent="0.25">
      <c r="O841" s="52"/>
      <c r="P841" s="52"/>
      <c r="AD841"/>
      <c r="AE841"/>
    </row>
    <row r="842" spans="15:31" x14ac:dyDescent="0.25">
      <c r="O842" s="52"/>
      <c r="P842" s="52"/>
      <c r="AD842"/>
      <c r="AE842"/>
    </row>
    <row r="843" spans="15:31" x14ac:dyDescent="0.25">
      <c r="O843" s="52"/>
      <c r="P843" s="52"/>
      <c r="AD843"/>
      <c r="AE843"/>
    </row>
    <row r="844" spans="15:31" x14ac:dyDescent="0.25">
      <c r="O844" s="52"/>
      <c r="P844" s="52"/>
      <c r="AD844"/>
      <c r="AE844"/>
    </row>
    <row r="845" spans="15:31" x14ac:dyDescent="0.25">
      <c r="O845" s="52"/>
      <c r="P845" s="52"/>
      <c r="AD845"/>
      <c r="AE845"/>
    </row>
    <row r="846" spans="15:31" x14ac:dyDescent="0.25">
      <c r="O846" s="52"/>
      <c r="P846" s="52"/>
      <c r="AD846"/>
      <c r="AE846"/>
    </row>
    <row r="847" spans="15:31" x14ac:dyDescent="0.25">
      <c r="O847" s="52"/>
      <c r="P847" s="52"/>
      <c r="AD847"/>
      <c r="AE847"/>
    </row>
    <row r="848" spans="15:31" x14ac:dyDescent="0.25">
      <c r="O848" s="52"/>
      <c r="P848" s="52"/>
      <c r="AD848"/>
      <c r="AE848"/>
    </row>
    <row r="849" spans="15:31" x14ac:dyDescent="0.25">
      <c r="O849" s="52"/>
      <c r="P849" s="52"/>
      <c r="AD849"/>
      <c r="AE849"/>
    </row>
    <row r="850" spans="15:31" x14ac:dyDescent="0.25">
      <c r="O850" s="52"/>
      <c r="P850" s="52"/>
      <c r="AD850"/>
      <c r="AE850"/>
    </row>
    <row r="851" spans="15:31" x14ac:dyDescent="0.25">
      <c r="O851" s="52"/>
      <c r="P851" s="52"/>
      <c r="AD851"/>
      <c r="AE851"/>
    </row>
    <row r="852" spans="15:31" x14ac:dyDescent="0.25">
      <c r="O852" s="52"/>
      <c r="P852" s="52"/>
      <c r="AD852"/>
      <c r="AE852"/>
    </row>
    <row r="853" spans="15:31" x14ac:dyDescent="0.25">
      <c r="O853" s="52"/>
      <c r="P853" s="52"/>
      <c r="AD853"/>
      <c r="AE853"/>
    </row>
    <row r="854" spans="15:31" x14ac:dyDescent="0.25">
      <c r="O854" s="52"/>
      <c r="P854" s="52"/>
      <c r="AD854"/>
      <c r="AE854"/>
    </row>
    <row r="855" spans="15:31" x14ac:dyDescent="0.25">
      <c r="O855" s="52"/>
      <c r="P855" s="52"/>
      <c r="AD855"/>
      <c r="AE855"/>
    </row>
    <row r="856" spans="15:31" x14ac:dyDescent="0.25">
      <c r="O856" s="52"/>
      <c r="P856" s="52"/>
      <c r="AD856"/>
      <c r="AE856"/>
    </row>
    <row r="857" spans="15:31" x14ac:dyDescent="0.25">
      <c r="O857" s="52"/>
      <c r="P857" s="52"/>
      <c r="AD857"/>
      <c r="AE857"/>
    </row>
    <row r="858" spans="15:31" x14ac:dyDescent="0.25">
      <c r="O858" s="52"/>
      <c r="P858" s="52"/>
      <c r="AD858"/>
      <c r="AE858"/>
    </row>
    <row r="859" spans="15:31" x14ac:dyDescent="0.25">
      <c r="O859" s="52"/>
      <c r="P859" s="52"/>
      <c r="AD859"/>
      <c r="AE859"/>
    </row>
    <row r="860" spans="15:31" x14ac:dyDescent="0.25">
      <c r="O860" s="52"/>
      <c r="P860" s="52"/>
      <c r="AD860"/>
      <c r="AE860"/>
    </row>
    <row r="861" spans="15:31" x14ac:dyDescent="0.25">
      <c r="O861" s="52"/>
      <c r="P861" s="52"/>
      <c r="AD861"/>
      <c r="AE861"/>
    </row>
    <row r="862" spans="15:31" x14ac:dyDescent="0.25">
      <c r="O862" s="52"/>
      <c r="P862" s="52"/>
      <c r="AD862"/>
      <c r="AE862"/>
    </row>
    <row r="863" spans="15:31" x14ac:dyDescent="0.25">
      <c r="O863" s="52"/>
      <c r="P863" s="52"/>
      <c r="AD863"/>
      <c r="AE863"/>
    </row>
    <row r="864" spans="15:31" x14ac:dyDescent="0.25">
      <c r="O864" s="52"/>
      <c r="P864" s="52"/>
      <c r="AD864"/>
      <c r="AE864"/>
    </row>
    <row r="865" spans="15:31" x14ac:dyDescent="0.25">
      <c r="O865" s="52"/>
      <c r="P865" s="52"/>
      <c r="AD865"/>
      <c r="AE865"/>
    </row>
    <row r="866" spans="15:31" x14ac:dyDescent="0.25">
      <c r="O866" s="52"/>
      <c r="P866" s="52"/>
      <c r="AD866"/>
      <c r="AE866"/>
    </row>
    <row r="867" spans="15:31" x14ac:dyDescent="0.25">
      <c r="O867" s="52"/>
      <c r="P867" s="52"/>
      <c r="AD867"/>
      <c r="AE867"/>
    </row>
    <row r="868" spans="15:31" x14ac:dyDescent="0.25">
      <c r="O868" s="52"/>
      <c r="P868" s="52"/>
      <c r="AD868"/>
      <c r="AE868"/>
    </row>
    <row r="869" spans="15:31" x14ac:dyDescent="0.25">
      <c r="O869" s="52"/>
      <c r="P869" s="52"/>
      <c r="AD869"/>
      <c r="AE869"/>
    </row>
    <row r="870" spans="15:31" x14ac:dyDescent="0.25">
      <c r="O870" s="52"/>
      <c r="P870" s="52"/>
      <c r="AD870"/>
      <c r="AE870"/>
    </row>
    <row r="871" spans="15:31" x14ac:dyDescent="0.25">
      <c r="O871" s="52"/>
      <c r="P871" s="52"/>
      <c r="AD871"/>
      <c r="AE871"/>
    </row>
    <row r="872" spans="15:31" x14ac:dyDescent="0.25">
      <c r="O872" s="52"/>
      <c r="P872" s="52"/>
      <c r="AD872"/>
      <c r="AE872"/>
    </row>
    <row r="873" spans="15:31" x14ac:dyDescent="0.25">
      <c r="O873" s="52"/>
      <c r="P873" s="52"/>
      <c r="AD873"/>
      <c r="AE873"/>
    </row>
    <row r="874" spans="15:31" x14ac:dyDescent="0.25">
      <c r="O874" s="52"/>
      <c r="P874" s="52"/>
      <c r="AD874"/>
      <c r="AE874"/>
    </row>
    <row r="875" spans="15:31" x14ac:dyDescent="0.25">
      <c r="O875" s="52"/>
      <c r="P875" s="52"/>
      <c r="AD875"/>
      <c r="AE875"/>
    </row>
    <row r="876" spans="15:31" x14ac:dyDescent="0.25">
      <c r="O876" s="52"/>
      <c r="P876" s="52"/>
      <c r="AD876"/>
      <c r="AE876"/>
    </row>
    <row r="877" spans="15:31" x14ac:dyDescent="0.25">
      <c r="O877" s="52"/>
      <c r="P877" s="52"/>
      <c r="AD877"/>
      <c r="AE877"/>
    </row>
    <row r="878" spans="15:31" x14ac:dyDescent="0.25">
      <c r="O878" s="52"/>
      <c r="P878" s="52"/>
      <c r="AD878"/>
      <c r="AE878"/>
    </row>
    <row r="879" spans="15:31" x14ac:dyDescent="0.25">
      <c r="O879" s="52"/>
      <c r="P879" s="52"/>
      <c r="AD879"/>
      <c r="AE879"/>
    </row>
    <row r="880" spans="15:31" x14ac:dyDescent="0.25">
      <c r="O880" s="52"/>
      <c r="P880" s="52"/>
      <c r="AD880"/>
      <c r="AE880"/>
    </row>
    <row r="881" spans="15:31" x14ac:dyDescent="0.25">
      <c r="O881" s="52"/>
      <c r="P881" s="52"/>
      <c r="AD881"/>
      <c r="AE881"/>
    </row>
    <row r="882" spans="15:31" x14ac:dyDescent="0.25">
      <c r="O882" s="52"/>
      <c r="P882" s="52"/>
      <c r="AD882"/>
      <c r="AE882"/>
    </row>
    <row r="883" spans="15:31" x14ac:dyDescent="0.25">
      <c r="O883" s="52"/>
      <c r="P883" s="52"/>
      <c r="AD883"/>
      <c r="AE883"/>
    </row>
    <row r="884" spans="15:31" x14ac:dyDescent="0.25">
      <c r="O884" s="52"/>
      <c r="P884" s="52"/>
      <c r="AD884"/>
      <c r="AE884"/>
    </row>
    <row r="885" spans="15:31" x14ac:dyDescent="0.25">
      <c r="O885" s="52"/>
      <c r="P885" s="52"/>
      <c r="AD885"/>
      <c r="AE885"/>
    </row>
    <row r="886" spans="15:31" x14ac:dyDescent="0.25">
      <c r="O886" s="52"/>
      <c r="P886" s="52"/>
      <c r="AD886"/>
      <c r="AE886"/>
    </row>
    <row r="887" spans="15:31" x14ac:dyDescent="0.25">
      <c r="O887" s="52"/>
      <c r="P887" s="52"/>
      <c r="AD887"/>
      <c r="AE887"/>
    </row>
    <row r="888" spans="15:31" x14ac:dyDescent="0.25">
      <c r="O888" s="52"/>
      <c r="P888" s="52"/>
      <c r="AD888"/>
      <c r="AE888"/>
    </row>
    <row r="889" spans="15:31" x14ac:dyDescent="0.25">
      <c r="O889" s="52"/>
      <c r="P889" s="52"/>
      <c r="AD889"/>
      <c r="AE889"/>
    </row>
    <row r="890" spans="15:31" x14ac:dyDescent="0.25">
      <c r="O890" s="52"/>
      <c r="P890" s="52"/>
      <c r="AD890"/>
      <c r="AE890"/>
    </row>
    <row r="891" spans="15:31" x14ac:dyDescent="0.25">
      <c r="O891" s="52"/>
      <c r="P891" s="52"/>
      <c r="AD891"/>
      <c r="AE891"/>
    </row>
    <row r="892" spans="15:31" x14ac:dyDescent="0.25">
      <c r="O892" s="52"/>
      <c r="P892" s="52"/>
      <c r="AD892"/>
      <c r="AE892"/>
    </row>
    <row r="893" spans="15:31" x14ac:dyDescent="0.25">
      <c r="O893" s="52"/>
      <c r="P893" s="52"/>
      <c r="AD893"/>
      <c r="AE893"/>
    </row>
    <row r="894" spans="15:31" x14ac:dyDescent="0.25">
      <c r="O894" s="52"/>
      <c r="P894" s="52"/>
      <c r="AD894"/>
      <c r="AE894"/>
    </row>
    <row r="895" spans="15:31" x14ac:dyDescent="0.25">
      <c r="O895" s="52"/>
      <c r="P895" s="52"/>
      <c r="AD895"/>
      <c r="AE895"/>
    </row>
    <row r="896" spans="15:31" x14ac:dyDescent="0.25">
      <c r="O896" s="52"/>
      <c r="P896" s="52"/>
      <c r="AD896"/>
      <c r="AE896"/>
    </row>
    <row r="897" spans="15:31" x14ac:dyDescent="0.25">
      <c r="O897" s="52"/>
      <c r="P897" s="52"/>
      <c r="AD897"/>
      <c r="AE897"/>
    </row>
    <row r="898" spans="15:31" x14ac:dyDescent="0.25">
      <c r="O898" s="52"/>
      <c r="P898" s="52"/>
      <c r="AD898"/>
      <c r="AE898"/>
    </row>
    <row r="899" spans="15:31" x14ac:dyDescent="0.25">
      <c r="O899" s="52"/>
      <c r="P899" s="52"/>
      <c r="AD899"/>
      <c r="AE899"/>
    </row>
    <row r="900" spans="15:31" x14ac:dyDescent="0.25">
      <c r="O900" s="52"/>
      <c r="P900" s="52"/>
      <c r="AD900"/>
      <c r="AE900"/>
    </row>
    <row r="901" spans="15:31" x14ac:dyDescent="0.25">
      <c r="O901" s="52"/>
      <c r="P901" s="52"/>
      <c r="AD901"/>
      <c r="AE901"/>
    </row>
    <row r="902" spans="15:31" x14ac:dyDescent="0.25">
      <c r="O902" s="52"/>
      <c r="P902" s="52"/>
      <c r="AD902"/>
      <c r="AE902"/>
    </row>
    <row r="903" spans="15:31" x14ac:dyDescent="0.25">
      <c r="O903" s="52"/>
      <c r="P903" s="52"/>
      <c r="AD903"/>
      <c r="AE903"/>
    </row>
    <row r="904" spans="15:31" x14ac:dyDescent="0.25">
      <c r="O904" s="52"/>
      <c r="P904" s="52"/>
      <c r="AD904"/>
      <c r="AE904"/>
    </row>
    <row r="905" spans="15:31" x14ac:dyDescent="0.25">
      <c r="O905" s="52"/>
      <c r="P905" s="52"/>
      <c r="AD905"/>
      <c r="AE905"/>
    </row>
    <row r="906" spans="15:31" x14ac:dyDescent="0.25">
      <c r="O906" s="52"/>
      <c r="P906" s="52"/>
      <c r="AD906"/>
      <c r="AE906"/>
    </row>
    <row r="907" spans="15:31" x14ac:dyDescent="0.25">
      <c r="O907" s="52"/>
      <c r="P907" s="52"/>
      <c r="AD907"/>
      <c r="AE907"/>
    </row>
    <row r="908" spans="15:31" x14ac:dyDescent="0.25">
      <c r="O908" s="52"/>
      <c r="P908" s="52"/>
      <c r="AD908"/>
      <c r="AE908"/>
    </row>
    <row r="909" spans="15:31" x14ac:dyDescent="0.25">
      <c r="O909" s="52"/>
      <c r="P909" s="52"/>
      <c r="AD909"/>
      <c r="AE909"/>
    </row>
    <row r="910" spans="15:31" x14ac:dyDescent="0.25">
      <c r="O910" s="52"/>
      <c r="P910" s="52"/>
      <c r="AD910"/>
      <c r="AE910"/>
    </row>
    <row r="911" spans="15:31" x14ac:dyDescent="0.25">
      <c r="O911" s="52"/>
      <c r="P911" s="52"/>
      <c r="AD911"/>
      <c r="AE911"/>
    </row>
    <row r="912" spans="15:31" x14ac:dyDescent="0.25">
      <c r="O912" s="52"/>
      <c r="P912" s="52"/>
      <c r="AD912"/>
      <c r="AE912"/>
    </row>
    <row r="913" spans="15:31" x14ac:dyDescent="0.25">
      <c r="O913" s="52"/>
      <c r="P913" s="52"/>
      <c r="AD913"/>
      <c r="AE913"/>
    </row>
    <row r="914" spans="15:31" x14ac:dyDescent="0.25">
      <c r="O914" s="52"/>
      <c r="P914" s="52"/>
      <c r="AD914"/>
      <c r="AE914"/>
    </row>
    <row r="915" spans="15:31" x14ac:dyDescent="0.25">
      <c r="O915" s="52"/>
      <c r="P915" s="52"/>
      <c r="AD915"/>
      <c r="AE915"/>
    </row>
    <row r="916" spans="15:31" x14ac:dyDescent="0.25">
      <c r="O916" s="52"/>
      <c r="P916" s="52"/>
      <c r="AD916"/>
      <c r="AE916"/>
    </row>
    <row r="917" spans="15:31" x14ac:dyDescent="0.25">
      <c r="O917" s="52"/>
      <c r="P917" s="52"/>
      <c r="AD917"/>
      <c r="AE917"/>
    </row>
    <row r="918" spans="15:31" x14ac:dyDescent="0.25">
      <c r="O918" s="52"/>
      <c r="P918" s="52"/>
      <c r="AD918"/>
      <c r="AE918"/>
    </row>
    <row r="919" spans="15:31" x14ac:dyDescent="0.25">
      <c r="O919" s="52"/>
      <c r="P919" s="52"/>
      <c r="AD919"/>
      <c r="AE919"/>
    </row>
    <row r="920" spans="15:31" x14ac:dyDescent="0.25">
      <c r="O920" s="52"/>
      <c r="P920" s="52"/>
      <c r="AD920"/>
      <c r="AE920"/>
    </row>
    <row r="921" spans="15:31" x14ac:dyDescent="0.25">
      <c r="O921" s="52"/>
      <c r="P921" s="52"/>
      <c r="AD921"/>
      <c r="AE921"/>
    </row>
    <row r="922" spans="15:31" x14ac:dyDescent="0.25">
      <c r="O922" s="52"/>
      <c r="P922" s="52"/>
      <c r="AD922"/>
      <c r="AE922"/>
    </row>
    <row r="923" spans="15:31" x14ac:dyDescent="0.25">
      <c r="O923" s="52"/>
      <c r="P923" s="52"/>
      <c r="AD923"/>
      <c r="AE923"/>
    </row>
    <row r="924" spans="15:31" x14ac:dyDescent="0.25">
      <c r="O924" s="52"/>
      <c r="P924" s="52"/>
      <c r="AD924"/>
      <c r="AE924"/>
    </row>
    <row r="925" spans="15:31" x14ac:dyDescent="0.25">
      <c r="O925" s="52"/>
      <c r="P925" s="52"/>
      <c r="AD925"/>
      <c r="AE925"/>
    </row>
    <row r="926" spans="15:31" x14ac:dyDescent="0.25">
      <c r="O926" s="52"/>
      <c r="P926" s="52"/>
      <c r="AD926"/>
      <c r="AE926"/>
    </row>
    <row r="927" spans="15:31" x14ac:dyDescent="0.25">
      <c r="O927" s="52"/>
      <c r="P927" s="52"/>
      <c r="AD927"/>
      <c r="AE927"/>
    </row>
    <row r="928" spans="15:31" x14ac:dyDescent="0.25">
      <c r="O928" s="52"/>
      <c r="P928" s="52"/>
      <c r="AD928"/>
      <c r="AE928"/>
    </row>
    <row r="929" spans="15:31" x14ac:dyDescent="0.25">
      <c r="O929" s="52"/>
      <c r="P929" s="52"/>
      <c r="AD929"/>
      <c r="AE929"/>
    </row>
    <row r="930" spans="15:31" x14ac:dyDescent="0.25">
      <c r="O930" s="52"/>
      <c r="P930" s="52"/>
      <c r="AD930"/>
      <c r="AE930"/>
    </row>
    <row r="931" spans="15:31" x14ac:dyDescent="0.25">
      <c r="O931" s="52"/>
      <c r="P931" s="52"/>
      <c r="AD931"/>
      <c r="AE931"/>
    </row>
    <row r="932" spans="15:31" x14ac:dyDescent="0.25">
      <c r="O932" s="52"/>
      <c r="P932" s="52"/>
      <c r="AD932"/>
      <c r="AE932"/>
    </row>
    <row r="933" spans="15:31" x14ac:dyDescent="0.25">
      <c r="O933" s="52"/>
      <c r="P933" s="52"/>
      <c r="AD933"/>
      <c r="AE933"/>
    </row>
    <row r="934" spans="15:31" x14ac:dyDescent="0.25">
      <c r="O934" s="52"/>
      <c r="P934" s="52"/>
      <c r="AD934"/>
      <c r="AE934"/>
    </row>
    <row r="935" spans="15:31" x14ac:dyDescent="0.25">
      <c r="O935" s="52"/>
      <c r="P935" s="52"/>
      <c r="AD935"/>
      <c r="AE935"/>
    </row>
    <row r="936" spans="15:31" x14ac:dyDescent="0.25">
      <c r="O936" s="52"/>
      <c r="P936" s="52"/>
      <c r="AD936"/>
      <c r="AE936"/>
    </row>
    <row r="937" spans="15:31" x14ac:dyDescent="0.25">
      <c r="O937" s="52"/>
      <c r="P937" s="52"/>
      <c r="AD937"/>
      <c r="AE937"/>
    </row>
    <row r="938" spans="15:31" x14ac:dyDescent="0.25">
      <c r="O938" s="52"/>
      <c r="P938" s="52"/>
      <c r="AD938"/>
      <c r="AE938"/>
    </row>
    <row r="939" spans="15:31" x14ac:dyDescent="0.25">
      <c r="O939" s="52"/>
      <c r="P939" s="52"/>
      <c r="AD939"/>
      <c r="AE939"/>
    </row>
    <row r="940" spans="15:31" x14ac:dyDescent="0.25">
      <c r="O940" s="52"/>
      <c r="P940" s="52"/>
      <c r="AD940"/>
      <c r="AE940"/>
    </row>
    <row r="941" spans="15:31" x14ac:dyDescent="0.25">
      <c r="O941" s="52"/>
      <c r="P941" s="52"/>
      <c r="AD941"/>
      <c r="AE941"/>
    </row>
    <row r="942" spans="15:31" x14ac:dyDescent="0.25">
      <c r="O942" s="52"/>
      <c r="P942" s="52"/>
      <c r="AD942"/>
      <c r="AE942"/>
    </row>
    <row r="943" spans="15:31" x14ac:dyDescent="0.25">
      <c r="O943" s="52"/>
      <c r="P943" s="52"/>
      <c r="AD943"/>
      <c r="AE943"/>
    </row>
    <row r="944" spans="15:31" x14ac:dyDescent="0.25">
      <c r="O944" s="52"/>
      <c r="P944" s="52"/>
      <c r="AD944"/>
      <c r="AE944"/>
    </row>
    <row r="945" spans="15:31" x14ac:dyDescent="0.25">
      <c r="O945" s="52"/>
      <c r="P945" s="52"/>
      <c r="AD945"/>
      <c r="AE945"/>
    </row>
    <row r="946" spans="15:31" x14ac:dyDescent="0.25">
      <c r="O946" s="52"/>
      <c r="P946" s="52"/>
      <c r="AD946"/>
      <c r="AE946"/>
    </row>
    <row r="947" spans="15:31" x14ac:dyDescent="0.25">
      <c r="O947" s="52"/>
      <c r="P947" s="52"/>
      <c r="AD947"/>
      <c r="AE947"/>
    </row>
    <row r="948" spans="15:31" x14ac:dyDescent="0.25">
      <c r="O948" s="52"/>
      <c r="P948" s="52"/>
      <c r="AD948"/>
      <c r="AE948"/>
    </row>
    <row r="949" spans="15:31" x14ac:dyDescent="0.25">
      <c r="O949" s="52"/>
      <c r="P949" s="52"/>
      <c r="AD949"/>
      <c r="AE949"/>
    </row>
    <row r="950" spans="15:31" x14ac:dyDescent="0.25">
      <c r="O950" s="52"/>
      <c r="P950" s="52"/>
      <c r="AD950"/>
      <c r="AE950"/>
    </row>
    <row r="951" spans="15:31" x14ac:dyDescent="0.25">
      <c r="O951" s="52"/>
      <c r="P951" s="52"/>
      <c r="AD951"/>
      <c r="AE951"/>
    </row>
    <row r="952" spans="15:31" x14ac:dyDescent="0.25">
      <c r="O952" s="52"/>
      <c r="P952" s="52"/>
      <c r="AD952"/>
      <c r="AE952"/>
    </row>
    <row r="953" spans="15:31" x14ac:dyDescent="0.25">
      <c r="O953" s="52"/>
      <c r="P953" s="52"/>
      <c r="AD953"/>
      <c r="AE953"/>
    </row>
    <row r="954" spans="15:31" x14ac:dyDescent="0.25">
      <c r="O954" s="52"/>
      <c r="P954" s="52"/>
      <c r="AD954"/>
      <c r="AE954"/>
    </row>
    <row r="955" spans="15:31" x14ac:dyDescent="0.25">
      <c r="O955" s="52"/>
      <c r="P955" s="52"/>
      <c r="AD955"/>
      <c r="AE955"/>
    </row>
    <row r="956" spans="15:31" x14ac:dyDescent="0.25">
      <c r="O956" s="52"/>
      <c r="P956" s="52"/>
      <c r="AD956"/>
      <c r="AE956"/>
    </row>
    <row r="957" spans="15:31" x14ac:dyDescent="0.25">
      <c r="O957" s="52"/>
      <c r="P957" s="52"/>
      <c r="AD957"/>
      <c r="AE957"/>
    </row>
    <row r="958" spans="15:31" x14ac:dyDescent="0.25">
      <c r="O958" s="52"/>
      <c r="P958" s="52"/>
      <c r="AD958"/>
      <c r="AE958"/>
    </row>
    <row r="959" spans="15:31" x14ac:dyDescent="0.25">
      <c r="O959" s="52"/>
      <c r="P959" s="52"/>
      <c r="AD959"/>
      <c r="AE959"/>
    </row>
    <row r="960" spans="15:31" x14ac:dyDescent="0.25">
      <c r="O960" s="52"/>
      <c r="P960" s="52"/>
      <c r="AD960"/>
      <c r="AE960"/>
    </row>
    <row r="961" spans="15:31" x14ac:dyDescent="0.25">
      <c r="O961" s="52"/>
      <c r="P961" s="52"/>
      <c r="AD961"/>
      <c r="AE961"/>
    </row>
    <row r="962" spans="15:31" x14ac:dyDescent="0.25">
      <c r="O962" s="52"/>
      <c r="P962" s="52"/>
      <c r="AD962"/>
      <c r="AE962"/>
    </row>
    <row r="963" spans="15:31" x14ac:dyDescent="0.25">
      <c r="O963" s="52"/>
      <c r="P963" s="52"/>
      <c r="AD963"/>
      <c r="AE963"/>
    </row>
    <row r="964" spans="15:31" x14ac:dyDescent="0.25">
      <c r="O964" s="52"/>
      <c r="P964" s="52"/>
      <c r="AD964"/>
      <c r="AE964"/>
    </row>
    <row r="965" spans="15:31" x14ac:dyDescent="0.25">
      <c r="O965" s="52"/>
      <c r="P965" s="52"/>
      <c r="AD965"/>
      <c r="AE965"/>
    </row>
    <row r="966" spans="15:31" x14ac:dyDescent="0.25">
      <c r="O966" s="52"/>
      <c r="P966" s="52"/>
      <c r="AD966"/>
      <c r="AE966"/>
    </row>
    <row r="967" spans="15:31" x14ac:dyDescent="0.25">
      <c r="O967" s="52"/>
      <c r="P967" s="52"/>
      <c r="AD967"/>
      <c r="AE967"/>
    </row>
    <row r="968" spans="15:31" x14ac:dyDescent="0.25">
      <c r="O968" s="52"/>
      <c r="P968" s="52"/>
      <c r="AD968"/>
      <c r="AE968"/>
    </row>
    <row r="969" spans="15:31" x14ac:dyDescent="0.25">
      <c r="O969" s="52"/>
      <c r="P969" s="52"/>
      <c r="AD969"/>
      <c r="AE969"/>
    </row>
    <row r="970" spans="15:31" x14ac:dyDescent="0.25">
      <c r="O970" s="52"/>
      <c r="P970" s="52"/>
      <c r="AD970"/>
      <c r="AE970"/>
    </row>
    <row r="971" spans="15:31" x14ac:dyDescent="0.25">
      <c r="O971" s="52"/>
      <c r="P971" s="52"/>
      <c r="AD971"/>
      <c r="AE971"/>
    </row>
    <row r="972" spans="15:31" x14ac:dyDescent="0.25">
      <c r="O972" s="52"/>
      <c r="P972" s="52"/>
      <c r="AD972"/>
      <c r="AE972"/>
    </row>
    <row r="973" spans="15:31" x14ac:dyDescent="0.25">
      <c r="O973" s="52"/>
      <c r="P973" s="52"/>
      <c r="AD973"/>
      <c r="AE973"/>
    </row>
    <row r="974" spans="15:31" x14ac:dyDescent="0.25">
      <c r="O974" s="52"/>
      <c r="P974" s="52"/>
      <c r="AD974"/>
      <c r="AE974"/>
    </row>
    <row r="975" spans="15:31" x14ac:dyDescent="0.25">
      <c r="O975" s="52"/>
      <c r="P975" s="52"/>
      <c r="AD975"/>
      <c r="AE975"/>
    </row>
    <row r="976" spans="15:31" x14ac:dyDescent="0.25">
      <c r="O976" s="52"/>
      <c r="P976" s="52"/>
      <c r="AD976"/>
      <c r="AE976"/>
    </row>
    <row r="977" spans="15:31" x14ac:dyDescent="0.25">
      <c r="O977" s="52"/>
      <c r="P977" s="52"/>
      <c r="AD977"/>
      <c r="AE977"/>
    </row>
    <row r="978" spans="15:31" x14ac:dyDescent="0.25">
      <c r="O978" s="52"/>
      <c r="P978" s="52"/>
      <c r="AD978"/>
      <c r="AE978"/>
    </row>
    <row r="979" spans="15:31" x14ac:dyDescent="0.25">
      <c r="O979" s="52"/>
      <c r="P979" s="52"/>
      <c r="AD979"/>
      <c r="AE979"/>
    </row>
    <row r="980" spans="15:31" x14ac:dyDescent="0.25">
      <c r="O980" s="52"/>
      <c r="P980" s="52"/>
      <c r="AD980"/>
      <c r="AE980"/>
    </row>
    <row r="981" spans="15:31" x14ac:dyDescent="0.25">
      <c r="O981" s="52"/>
      <c r="P981" s="52"/>
      <c r="AD981"/>
      <c r="AE981"/>
    </row>
    <row r="982" spans="15:31" x14ac:dyDescent="0.25">
      <c r="O982" s="52"/>
      <c r="P982" s="52"/>
      <c r="AD982"/>
      <c r="AE982"/>
    </row>
    <row r="983" spans="15:31" x14ac:dyDescent="0.25">
      <c r="O983" s="52"/>
      <c r="P983" s="52"/>
      <c r="AD983"/>
      <c r="AE983"/>
    </row>
    <row r="984" spans="15:31" x14ac:dyDescent="0.25">
      <c r="O984" s="52"/>
      <c r="P984" s="52"/>
      <c r="AD984"/>
      <c r="AE984"/>
    </row>
    <row r="985" spans="15:31" x14ac:dyDescent="0.25">
      <c r="O985" s="52"/>
      <c r="P985" s="52"/>
      <c r="AD985"/>
      <c r="AE985"/>
    </row>
    <row r="986" spans="15:31" x14ac:dyDescent="0.25">
      <c r="O986" s="52"/>
      <c r="P986" s="52"/>
      <c r="AD986"/>
      <c r="AE986"/>
    </row>
    <row r="987" spans="15:31" x14ac:dyDescent="0.25">
      <c r="O987" s="52"/>
      <c r="P987" s="52"/>
      <c r="AD987"/>
      <c r="AE987"/>
    </row>
    <row r="988" spans="15:31" x14ac:dyDescent="0.25">
      <c r="O988" s="52"/>
      <c r="P988" s="52"/>
      <c r="AD988"/>
      <c r="AE988"/>
    </row>
    <row r="989" spans="15:31" x14ac:dyDescent="0.25">
      <c r="O989" s="52"/>
      <c r="P989" s="52"/>
      <c r="AD989"/>
      <c r="AE989"/>
    </row>
    <row r="990" spans="15:31" x14ac:dyDescent="0.25">
      <c r="O990" s="52"/>
      <c r="P990" s="52"/>
      <c r="AD990"/>
      <c r="AE990"/>
    </row>
    <row r="991" spans="15:31" x14ac:dyDescent="0.25">
      <c r="O991" s="52"/>
      <c r="P991" s="52"/>
      <c r="AD991"/>
      <c r="AE991"/>
    </row>
    <row r="992" spans="15:31" x14ac:dyDescent="0.25">
      <c r="O992" s="52"/>
      <c r="P992" s="52"/>
      <c r="AD992"/>
      <c r="AE992"/>
    </row>
    <row r="993" spans="15:31" x14ac:dyDescent="0.25">
      <c r="O993" s="52"/>
      <c r="P993" s="52"/>
      <c r="AD993"/>
      <c r="AE993"/>
    </row>
    <row r="994" spans="15:31" x14ac:dyDescent="0.25">
      <c r="O994" s="52"/>
      <c r="P994" s="52"/>
      <c r="AD994"/>
      <c r="AE994"/>
    </row>
    <row r="995" spans="15:31" x14ac:dyDescent="0.25">
      <c r="O995" s="52"/>
      <c r="P995" s="52"/>
      <c r="AD995"/>
      <c r="AE995"/>
    </row>
    <row r="996" spans="15:31" x14ac:dyDescent="0.25">
      <c r="O996" s="52"/>
      <c r="P996" s="52"/>
      <c r="AD996"/>
      <c r="AE996"/>
    </row>
    <row r="997" spans="15:31" x14ac:dyDescent="0.25">
      <c r="O997" s="52"/>
      <c r="P997" s="52"/>
      <c r="AD997"/>
      <c r="AE997"/>
    </row>
    <row r="998" spans="15:31" x14ac:dyDescent="0.25">
      <c r="O998" s="52"/>
      <c r="P998" s="52"/>
      <c r="AD998"/>
      <c r="AE998"/>
    </row>
    <row r="999" spans="15:31" x14ac:dyDescent="0.25">
      <c r="O999" s="52"/>
      <c r="P999" s="52"/>
      <c r="AD999"/>
      <c r="AE999"/>
    </row>
    <row r="1000" spans="15:31" x14ac:dyDescent="0.25">
      <c r="O1000" s="52"/>
      <c r="P1000" s="52"/>
      <c r="AD1000"/>
      <c r="AE1000"/>
    </row>
    <row r="1001" spans="15:31" x14ac:dyDescent="0.25">
      <c r="O1001" s="52"/>
      <c r="P1001" s="52"/>
      <c r="AD1001"/>
      <c r="AE1001"/>
    </row>
    <row r="1002" spans="15:31" x14ac:dyDescent="0.25">
      <c r="O1002" s="52"/>
      <c r="P1002" s="52"/>
      <c r="AD1002"/>
      <c r="AE1002"/>
    </row>
    <row r="1003" spans="15:31" x14ac:dyDescent="0.25">
      <c r="O1003" s="52"/>
      <c r="P1003" s="52"/>
      <c r="AD1003"/>
      <c r="AE1003"/>
    </row>
    <row r="1004" spans="15:31" x14ac:dyDescent="0.25">
      <c r="O1004" s="52"/>
      <c r="P1004" s="52"/>
      <c r="AD1004"/>
      <c r="AE1004"/>
    </row>
    <row r="1005" spans="15:31" x14ac:dyDescent="0.25">
      <c r="O1005" s="52"/>
      <c r="P1005" s="52"/>
      <c r="AD1005"/>
      <c r="AE1005"/>
    </row>
    <row r="1006" spans="15:31" x14ac:dyDescent="0.25">
      <c r="O1006" s="52"/>
      <c r="P1006" s="52"/>
      <c r="AD1006"/>
      <c r="AE1006"/>
    </row>
    <row r="1007" spans="15:31" x14ac:dyDescent="0.25">
      <c r="O1007" s="52"/>
      <c r="P1007" s="52"/>
      <c r="AD1007"/>
      <c r="AE1007"/>
    </row>
    <row r="1008" spans="15:31" x14ac:dyDescent="0.25">
      <c r="O1008" s="52"/>
      <c r="P1008" s="52"/>
      <c r="AD1008"/>
      <c r="AE1008"/>
    </row>
    <row r="1009" spans="15:31" x14ac:dyDescent="0.25">
      <c r="O1009" s="52"/>
      <c r="P1009" s="52"/>
      <c r="AD1009"/>
      <c r="AE1009"/>
    </row>
    <row r="1010" spans="15:31" x14ac:dyDescent="0.25">
      <c r="O1010" s="52"/>
      <c r="P1010" s="52"/>
      <c r="AD1010"/>
      <c r="AE1010"/>
    </row>
    <row r="1011" spans="15:31" x14ac:dyDescent="0.25">
      <c r="O1011" s="52"/>
      <c r="P1011" s="52"/>
      <c r="AD1011"/>
      <c r="AE1011"/>
    </row>
    <row r="1012" spans="15:31" x14ac:dyDescent="0.25">
      <c r="O1012" s="52"/>
      <c r="P1012" s="52"/>
      <c r="AD1012"/>
      <c r="AE1012"/>
    </row>
    <row r="1013" spans="15:31" x14ac:dyDescent="0.25">
      <c r="O1013" s="52"/>
      <c r="P1013" s="52"/>
      <c r="AD1013"/>
      <c r="AE1013"/>
    </row>
    <row r="1014" spans="15:31" x14ac:dyDescent="0.25">
      <c r="O1014" s="52"/>
      <c r="P1014" s="52"/>
      <c r="AD1014"/>
      <c r="AE1014"/>
    </row>
    <row r="1015" spans="15:31" x14ac:dyDescent="0.25">
      <c r="O1015" s="52"/>
      <c r="P1015" s="52"/>
      <c r="AD1015"/>
      <c r="AE1015"/>
    </row>
    <row r="1016" spans="15:31" x14ac:dyDescent="0.25">
      <c r="O1016" s="52"/>
      <c r="P1016" s="52"/>
      <c r="AD1016"/>
      <c r="AE1016"/>
    </row>
    <row r="1017" spans="15:31" x14ac:dyDescent="0.25">
      <c r="O1017" s="52"/>
      <c r="P1017" s="52"/>
      <c r="AD1017"/>
      <c r="AE1017"/>
    </row>
    <row r="1018" spans="15:31" x14ac:dyDescent="0.25">
      <c r="O1018" s="52"/>
      <c r="P1018" s="52"/>
      <c r="AD1018"/>
      <c r="AE1018"/>
    </row>
    <row r="1019" spans="15:31" x14ac:dyDescent="0.25">
      <c r="O1019" s="52"/>
      <c r="P1019" s="52"/>
      <c r="AD1019"/>
      <c r="AE1019"/>
    </row>
    <row r="1020" spans="15:31" x14ac:dyDescent="0.25">
      <c r="O1020" s="52"/>
      <c r="P1020" s="52"/>
      <c r="AD1020"/>
      <c r="AE1020"/>
    </row>
    <row r="1021" spans="15:31" x14ac:dyDescent="0.25">
      <c r="O1021" s="52"/>
      <c r="P1021" s="52"/>
      <c r="AD1021"/>
      <c r="AE1021"/>
    </row>
    <row r="1022" spans="15:31" x14ac:dyDescent="0.25">
      <c r="O1022" s="52"/>
      <c r="P1022" s="52"/>
      <c r="AD1022"/>
      <c r="AE1022"/>
    </row>
    <row r="1023" spans="15:31" x14ac:dyDescent="0.25">
      <c r="O1023" s="52"/>
      <c r="P1023" s="52"/>
      <c r="AD1023"/>
      <c r="AE1023"/>
    </row>
    <row r="1024" spans="15:31" x14ac:dyDescent="0.25">
      <c r="O1024" s="52"/>
      <c r="P1024" s="52"/>
      <c r="AD1024"/>
      <c r="AE1024"/>
    </row>
    <row r="1025" spans="15:31" x14ac:dyDescent="0.25">
      <c r="O1025" s="52"/>
      <c r="P1025" s="52"/>
      <c r="AD1025"/>
      <c r="AE1025"/>
    </row>
    <row r="1026" spans="15:31" x14ac:dyDescent="0.25">
      <c r="O1026" s="52"/>
      <c r="P1026" s="52"/>
      <c r="AD1026"/>
      <c r="AE1026"/>
    </row>
    <row r="1027" spans="15:31" x14ac:dyDescent="0.25">
      <c r="O1027" s="52"/>
      <c r="P1027" s="52"/>
      <c r="AD1027"/>
      <c r="AE1027"/>
    </row>
    <row r="1028" spans="15:31" x14ac:dyDescent="0.25">
      <c r="O1028" s="52"/>
      <c r="P1028" s="52"/>
      <c r="AD1028"/>
      <c r="AE1028"/>
    </row>
    <row r="1029" spans="15:31" x14ac:dyDescent="0.25">
      <c r="O1029" s="52"/>
      <c r="P1029" s="52"/>
      <c r="AD1029"/>
      <c r="AE1029"/>
    </row>
    <row r="1030" spans="15:31" x14ac:dyDescent="0.25">
      <c r="O1030" s="52"/>
      <c r="P1030" s="52"/>
      <c r="AD1030"/>
      <c r="AE1030"/>
    </row>
    <row r="1031" spans="15:31" x14ac:dyDescent="0.25">
      <c r="O1031" s="52"/>
      <c r="P1031" s="52"/>
      <c r="AD1031"/>
      <c r="AE1031"/>
    </row>
    <row r="1032" spans="15:31" x14ac:dyDescent="0.25">
      <c r="O1032" s="52"/>
      <c r="P1032" s="52"/>
      <c r="AD1032"/>
      <c r="AE1032"/>
    </row>
    <row r="1033" spans="15:31" x14ac:dyDescent="0.25">
      <c r="O1033" s="52"/>
      <c r="P1033" s="52"/>
      <c r="AD1033"/>
      <c r="AE1033"/>
    </row>
    <row r="1034" spans="15:31" x14ac:dyDescent="0.25">
      <c r="O1034" s="52"/>
      <c r="P1034" s="52"/>
      <c r="AD1034"/>
      <c r="AE1034"/>
    </row>
    <row r="1035" spans="15:31" x14ac:dyDescent="0.25">
      <c r="O1035" s="52"/>
      <c r="P1035" s="52"/>
      <c r="AD1035"/>
      <c r="AE1035"/>
    </row>
    <row r="1036" spans="15:31" x14ac:dyDescent="0.25">
      <c r="O1036" s="52"/>
      <c r="P1036" s="52"/>
      <c r="AD1036"/>
      <c r="AE1036"/>
    </row>
    <row r="1037" spans="15:31" x14ac:dyDescent="0.25">
      <c r="O1037" s="52"/>
      <c r="P1037" s="52"/>
      <c r="AD1037"/>
      <c r="AE1037"/>
    </row>
    <row r="1038" spans="15:31" x14ac:dyDescent="0.25">
      <c r="O1038" s="52"/>
      <c r="P1038" s="52"/>
      <c r="AD1038"/>
      <c r="AE1038"/>
    </row>
    <row r="1039" spans="15:31" x14ac:dyDescent="0.25">
      <c r="O1039" s="52"/>
      <c r="P1039" s="52"/>
      <c r="AD1039"/>
      <c r="AE1039"/>
    </row>
    <row r="1040" spans="15:31" x14ac:dyDescent="0.25">
      <c r="O1040" s="52"/>
      <c r="P1040" s="52"/>
      <c r="AD1040"/>
      <c r="AE1040"/>
    </row>
    <row r="1041" spans="15:31" x14ac:dyDescent="0.25">
      <c r="O1041" s="52"/>
      <c r="P1041" s="52"/>
      <c r="AD1041"/>
      <c r="AE1041"/>
    </row>
    <row r="1042" spans="15:31" x14ac:dyDescent="0.25">
      <c r="O1042" s="52"/>
      <c r="P1042" s="52"/>
      <c r="AD1042"/>
      <c r="AE1042"/>
    </row>
    <row r="1043" spans="15:31" x14ac:dyDescent="0.25">
      <c r="O1043" s="52"/>
      <c r="P1043" s="52"/>
      <c r="AD1043"/>
      <c r="AE1043"/>
    </row>
    <row r="1044" spans="15:31" x14ac:dyDescent="0.25">
      <c r="O1044" s="52"/>
      <c r="P1044" s="52"/>
      <c r="AD1044"/>
      <c r="AE1044"/>
    </row>
    <row r="1045" spans="15:31" x14ac:dyDescent="0.25">
      <c r="O1045" s="52"/>
      <c r="P1045" s="52"/>
      <c r="AD1045"/>
      <c r="AE1045"/>
    </row>
    <row r="1046" spans="15:31" x14ac:dyDescent="0.25">
      <c r="O1046" s="52"/>
      <c r="P1046" s="52"/>
      <c r="AD1046"/>
      <c r="AE1046"/>
    </row>
    <row r="1047" spans="15:31" x14ac:dyDescent="0.25">
      <c r="O1047" s="52"/>
      <c r="P1047" s="52"/>
      <c r="AD1047"/>
      <c r="AE1047"/>
    </row>
    <row r="1048" spans="15:31" x14ac:dyDescent="0.25">
      <c r="O1048" s="52"/>
      <c r="P1048" s="52"/>
      <c r="AD1048"/>
      <c r="AE1048"/>
    </row>
    <row r="1049" spans="15:31" x14ac:dyDescent="0.25">
      <c r="O1049" s="52"/>
      <c r="P1049" s="52"/>
      <c r="AD1049"/>
      <c r="AE1049"/>
    </row>
    <row r="1050" spans="15:31" x14ac:dyDescent="0.25">
      <c r="O1050" s="52"/>
      <c r="P1050" s="52"/>
      <c r="AD1050"/>
      <c r="AE1050"/>
    </row>
    <row r="1051" spans="15:31" x14ac:dyDescent="0.25">
      <c r="O1051" s="52"/>
      <c r="P1051" s="52"/>
      <c r="AD1051"/>
      <c r="AE1051"/>
    </row>
    <row r="1052" spans="15:31" x14ac:dyDescent="0.25">
      <c r="O1052" s="52"/>
      <c r="P1052" s="52"/>
      <c r="AD1052"/>
      <c r="AE1052"/>
    </row>
    <row r="1053" spans="15:31" x14ac:dyDescent="0.25">
      <c r="O1053" s="52"/>
      <c r="P1053" s="52"/>
      <c r="AD1053"/>
      <c r="AE1053"/>
    </row>
    <row r="1054" spans="15:31" x14ac:dyDescent="0.25">
      <c r="O1054" s="52"/>
      <c r="P1054" s="52"/>
      <c r="AD1054"/>
      <c r="AE1054"/>
    </row>
    <row r="1055" spans="15:31" x14ac:dyDescent="0.25">
      <c r="O1055" s="52"/>
      <c r="P1055" s="52"/>
      <c r="AD1055"/>
      <c r="AE1055"/>
    </row>
    <row r="1056" spans="15:31" x14ac:dyDescent="0.25">
      <c r="O1056" s="52"/>
      <c r="P1056" s="52"/>
      <c r="AD1056"/>
      <c r="AE1056"/>
    </row>
    <row r="1057" spans="15:31" x14ac:dyDescent="0.25">
      <c r="O1057" s="52"/>
      <c r="P1057" s="52"/>
      <c r="AD1057"/>
      <c r="AE1057"/>
    </row>
    <row r="1058" spans="15:31" x14ac:dyDescent="0.25">
      <c r="O1058" s="52"/>
      <c r="P1058" s="52"/>
      <c r="AD1058"/>
      <c r="AE1058"/>
    </row>
    <row r="1059" spans="15:31" x14ac:dyDescent="0.25">
      <c r="O1059" s="52"/>
      <c r="P1059" s="52"/>
      <c r="AD1059"/>
      <c r="AE1059"/>
    </row>
    <row r="1060" spans="15:31" x14ac:dyDescent="0.25">
      <c r="O1060" s="52"/>
      <c r="P1060" s="52"/>
      <c r="AD1060"/>
      <c r="AE1060"/>
    </row>
    <row r="1061" spans="15:31" x14ac:dyDescent="0.25">
      <c r="O1061" s="52"/>
      <c r="P1061" s="52"/>
      <c r="AD1061"/>
      <c r="AE1061"/>
    </row>
    <row r="1062" spans="15:31" x14ac:dyDescent="0.25">
      <c r="O1062" s="52"/>
      <c r="P1062" s="52"/>
      <c r="AD1062"/>
      <c r="AE1062"/>
    </row>
    <row r="1063" spans="15:31" x14ac:dyDescent="0.25">
      <c r="O1063" s="52"/>
      <c r="P1063" s="52"/>
      <c r="AD1063"/>
      <c r="AE1063"/>
    </row>
    <row r="1064" spans="15:31" x14ac:dyDescent="0.25">
      <c r="O1064" s="52"/>
      <c r="P1064" s="52"/>
      <c r="AD1064"/>
      <c r="AE1064"/>
    </row>
    <row r="1065" spans="15:31" x14ac:dyDescent="0.25">
      <c r="O1065" s="52"/>
      <c r="P1065" s="52"/>
      <c r="AD1065"/>
      <c r="AE1065"/>
    </row>
    <row r="1066" spans="15:31" x14ac:dyDescent="0.25">
      <c r="O1066" s="52"/>
      <c r="P1066" s="52"/>
      <c r="AD1066"/>
      <c r="AE1066"/>
    </row>
    <row r="1067" spans="15:31" x14ac:dyDescent="0.25">
      <c r="O1067" s="52"/>
      <c r="P1067" s="52"/>
      <c r="AD1067"/>
      <c r="AE1067"/>
    </row>
    <row r="1068" spans="15:31" x14ac:dyDescent="0.25">
      <c r="O1068" s="52"/>
      <c r="P1068" s="52"/>
      <c r="AD1068"/>
      <c r="AE1068"/>
    </row>
    <row r="1069" spans="15:31" x14ac:dyDescent="0.25">
      <c r="O1069" s="52"/>
      <c r="P1069" s="52"/>
      <c r="AD1069"/>
      <c r="AE1069"/>
    </row>
    <row r="1070" spans="15:31" x14ac:dyDescent="0.25">
      <c r="O1070" s="52"/>
      <c r="P1070" s="52"/>
      <c r="AD1070"/>
      <c r="AE1070"/>
    </row>
    <row r="1071" spans="15:31" x14ac:dyDescent="0.25">
      <c r="O1071" s="52"/>
      <c r="P1071" s="52"/>
      <c r="AD1071"/>
      <c r="AE1071"/>
    </row>
    <row r="1072" spans="15:31" x14ac:dyDescent="0.25">
      <c r="O1072" s="52"/>
      <c r="P1072" s="52"/>
      <c r="AD1072"/>
      <c r="AE1072"/>
    </row>
    <row r="1073" spans="15:31" x14ac:dyDescent="0.25">
      <c r="O1073" s="52"/>
      <c r="P1073" s="52"/>
      <c r="AD1073"/>
      <c r="AE1073"/>
    </row>
    <row r="1074" spans="15:31" x14ac:dyDescent="0.25">
      <c r="O1074" s="52"/>
      <c r="P1074" s="52"/>
      <c r="AD1074"/>
      <c r="AE1074"/>
    </row>
    <row r="1075" spans="15:31" x14ac:dyDescent="0.25">
      <c r="O1075" s="52"/>
      <c r="P1075" s="52"/>
      <c r="AD1075"/>
      <c r="AE1075"/>
    </row>
    <row r="1076" spans="15:31" x14ac:dyDescent="0.25">
      <c r="O1076" s="52"/>
      <c r="P1076" s="52"/>
      <c r="AD1076"/>
      <c r="AE1076"/>
    </row>
    <row r="1077" spans="15:31" x14ac:dyDescent="0.25">
      <c r="O1077" s="52"/>
      <c r="P1077" s="52"/>
      <c r="AD1077"/>
      <c r="AE1077"/>
    </row>
    <row r="1078" spans="15:31" x14ac:dyDescent="0.25">
      <c r="O1078" s="52"/>
      <c r="P1078" s="52"/>
      <c r="AD1078"/>
      <c r="AE1078"/>
    </row>
    <row r="1079" spans="15:31" x14ac:dyDescent="0.25">
      <c r="O1079" s="52"/>
      <c r="P1079" s="52"/>
      <c r="AD1079"/>
      <c r="AE1079"/>
    </row>
    <row r="1080" spans="15:31" x14ac:dyDescent="0.25">
      <c r="O1080" s="52"/>
      <c r="P1080" s="52"/>
      <c r="AD1080"/>
      <c r="AE1080"/>
    </row>
    <row r="1081" spans="15:31" x14ac:dyDescent="0.25">
      <c r="O1081" s="52"/>
      <c r="P1081" s="52"/>
      <c r="AD1081"/>
      <c r="AE1081"/>
    </row>
    <row r="1082" spans="15:31" x14ac:dyDescent="0.25">
      <c r="O1082" s="52"/>
      <c r="P1082" s="52"/>
      <c r="AD1082"/>
      <c r="AE1082"/>
    </row>
    <row r="1083" spans="15:31" x14ac:dyDescent="0.25">
      <c r="O1083" s="52"/>
      <c r="P1083" s="52"/>
      <c r="AD1083"/>
      <c r="AE1083"/>
    </row>
    <row r="1084" spans="15:31" x14ac:dyDescent="0.25">
      <c r="O1084" s="52"/>
      <c r="P1084" s="52"/>
      <c r="AD1084"/>
      <c r="AE1084"/>
    </row>
    <row r="1085" spans="15:31" x14ac:dyDescent="0.25">
      <c r="O1085" s="52"/>
      <c r="P1085" s="52"/>
      <c r="AD1085"/>
      <c r="AE1085"/>
    </row>
    <row r="1086" spans="15:31" x14ac:dyDescent="0.25">
      <c r="O1086" s="52"/>
      <c r="P1086" s="52"/>
      <c r="AD1086"/>
      <c r="AE1086"/>
    </row>
    <row r="1087" spans="15:31" x14ac:dyDescent="0.25">
      <c r="O1087" s="52"/>
      <c r="P1087" s="52"/>
      <c r="AD1087"/>
      <c r="AE1087"/>
    </row>
    <row r="1088" spans="15:31" x14ac:dyDescent="0.25">
      <c r="O1088" s="52"/>
      <c r="P1088" s="52"/>
      <c r="AD1088"/>
      <c r="AE1088"/>
    </row>
    <row r="1089" spans="15:31" x14ac:dyDescent="0.25">
      <c r="O1089" s="52"/>
      <c r="P1089" s="52"/>
      <c r="AD1089"/>
      <c r="AE1089"/>
    </row>
    <row r="1090" spans="15:31" x14ac:dyDescent="0.25">
      <c r="O1090" s="52"/>
      <c r="P1090" s="52"/>
      <c r="AD1090"/>
      <c r="AE1090"/>
    </row>
    <row r="1091" spans="15:31" x14ac:dyDescent="0.25">
      <c r="O1091" s="52"/>
      <c r="P1091" s="52"/>
      <c r="AD1091"/>
      <c r="AE1091"/>
    </row>
    <row r="1092" spans="15:31" x14ac:dyDescent="0.25">
      <c r="O1092" s="52"/>
      <c r="P1092" s="52"/>
      <c r="AD1092"/>
      <c r="AE1092"/>
    </row>
    <row r="1093" spans="15:31" x14ac:dyDescent="0.25">
      <c r="O1093" s="52"/>
      <c r="P1093" s="52"/>
      <c r="AD1093"/>
      <c r="AE1093"/>
    </row>
    <row r="1094" spans="15:31" x14ac:dyDescent="0.25">
      <c r="O1094" s="52"/>
      <c r="P1094" s="52"/>
      <c r="AD1094"/>
      <c r="AE1094"/>
    </row>
    <row r="1095" spans="15:31" x14ac:dyDescent="0.25">
      <c r="O1095" s="52"/>
      <c r="P1095" s="52"/>
      <c r="AD1095"/>
      <c r="AE1095"/>
    </row>
    <row r="1096" spans="15:31" x14ac:dyDescent="0.25">
      <c r="O1096" s="52"/>
      <c r="P1096" s="52"/>
      <c r="AD1096"/>
      <c r="AE1096"/>
    </row>
    <row r="1097" spans="15:31" x14ac:dyDescent="0.25">
      <c r="O1097" s="52"/>
      <c r="P1097" s="52"/>
      <c r="AD1097"/>
      <c r="AE1097"/>
    </row>
    <row r="1098" spans="15:31" x14ac:dyDescent="0.25">
      <c r="O1098" s="52"/>
      <c r="P1098" s="52"/>
      <c r="AD1098"/>
      <c r="AE1098"/>
    </row>
    <row r="1099" spans="15:31" x14ac:dyDescent="0.25">
      <c r="O1099" s="52"/>
      <c r="P1099" s="52"/>
      <c r="AD1099"/>
      <c r="AE1099"/>
    </row>
    <row r="1100" spans="15:31" x14ac:dyDescent="0.25">
      <c r="O1100" s="52"/>
      <c r="P1100" s="52"/>
      <c r="AD1100"/>
      <c r="AE1100"/>
    </row>
    <row r="1101" spans="15:31" x14ac:dyDescent="0.25">
      <c r="O1101" s="52"/>
      <c r="P1101" s="52"/>
      <c r="AD1101"/>
      <c r="AE1101"/>
    </row>
    <row r="1102" spans="15:31" x14ac:dyDescent="0.25">
      <c r="O1102" s="52"/>
      <c r="P1102" s="52"/>
      <c r="AD1102"/>
      <c r="AE1102"/>
    </row>
    <row r="1103" spans="15:31" x14ac:dyDescent="0.25">
      <c r="O1103" s="52"/>
      <c r="P1103" s="52"/>
      <c r="AD1103"/>
      <c r="AE1103"/>
    </row>
    <row r="1104" spans="15:31" x14ac:dyDescent="0.25">
      <c r="O1104" s="52"/>
      <c r="P1104" s="52"/>
      <c r="AD1104"/>
      <c r="AE1104"/>
    </row>
    <row r="1105" spans="15:31" x14ac:dyDescent="0.25">
      <c r="O1105" s="52"/>
      <c r="P1105" s="52"/>
      <c r="AD1105"/>
      <c r="AE1105"/>
    </row>
    <row r="1106" spans="15:31" x14ac:dyDescent="0.25">
      <c r="O1106" s="52"/>
      <c r="P1106" s="52"/>
      <c r="AD1106"/>
      <c r="AE1106"/>
    </row>
    <row r="1107" spans="15:31" x14ac:dyDescent="0.25">
      <c r="O1107" s="52"/>
      <c r="P1107" s="52"/>
      <c r="AD1107"/>
      <c r="AE1107"/>
    </row>
    <row r="1108" spans="15:31" x14ac:dyDescent="0.25">
      <c r="O1108" s="52"/>
      <c r="P1108" s="52"/>
      <c r="AD1108"/>
      <c r="AE1108"/>
    </row>
    <row r="1109" spans="15:31" x14ac:dyDescent="0.25">
      <c r="O1109" s="52"/>
      <c r="P1109" s="52"/>
      <c r="AD1109"/>
      <c r="AE1109"/>
    </row>
    <row r="1110" spans="15:31" x14ac:dyDescent="0.25">
      <c r="O1110" s="52"/>
      <c r="P1110" s="52"/>
      <c r="AD1110"/>
      <c r="AE1110"/>
    </row>
    <row r="1111" spans="15:31" x14ac:dyDescent="0.25">
      <c r="O1111" s="52"/>
      <c r="P1111" s="52"/>
      <c r="AD1111"/>
      <c r="AE1111"/>
    </row>
    <row r="1112" spans="15:31" x14ac:dyDescent="0.25">
      <c r="O1112" s="52"/>
      <c r="P1112" s="52"/>
      <c r="AD1112"/>
      <c r="AE1112"/>
    </row>
    <row r="1113" spans="15:31" x14ac:dyDescent="0.25">
      <c r="O1113" s="52"/>
      <c r="P1113" s="52"/>
      <c r="AD1113"/>
      <c r="AE1113"/>
    </row>
    <row r="1114" spans="15:31" x14ac:dyDescent="0.25">
      <c r="O1114" s="52"/>
      <c r="P1114" s="52"/>
      <c r="AD1114"/>
      <c r="AE1114"/>
    </row>
    <row r="1115" spans="15:31" x14ac:dyDescent="0.25">
      <c r="O1115" s="52"/>
      <c r="P1115" s="52"/>
      <c r="AD1115"/>
      <c r="AE1115"/>
    </row>
    <row r="1116" spans="15:31" x14ac:dyDescent="0.25">
      <c r="O1116" s="52"/>
      <c r="P1116" s="52"/>
      <c r="AD1116"/>
      <c r="AE1116"/>
    </row>
    <row r="1117" spans="15:31" x14ac:dyDescent="0.25">
      <c r="O1117" s="52"/>
      <c r="P1117" s="52"/>
      <c r="AD1117"/>
      <c r="AE1117"/>
    </row>
    <row r="1118" spans="15:31" x14ac:dyDescent="0.25">
      <c r="O1118" s="52"/>
      <c r="P1118" s="52"/>
      <c r="AD1118"/>
      <c r="AE1118"/>
    </row>
    <row r="1119" spans="15:31" x14ac:dyDescent="0.25">
      <c r="O1119" s="52"/>
      <c r="P1119" s="52"/>
      <c r="AD1119"/>
      <c r="AE1119"/>
    </row>
    <row r="1120" spans="15:31" x14ac:dyDescent="0.25">
      <c r="O1120" s="52"/>
      <c r="P1120" s="52"/>
      <c r="AD1120"/>
      <c r="AE1120"/>
    </row>
    <row r="1121" spans="15:31" x14ac:dyDescent="0.25">
      <c r="O1121" s="52"/>
      <c r="P1121" s="52"/>
      <c r="AD1121"/>
      <c r="AE1121"/>
    </row>
    <row r="1122" spans="15:31" x14ac:dyDescent="0.25">
      <c r="O1122" s="52"/>
      <c r="P1122" s="52"/>
      <c r="AD1122"/>
      <c r="AE1122"/>
    </row>
    <row r="1123" spans="15:31" x14ac:dyDescent="0.25">
      <c r="O1123" s="52"/>
      <c r="P1123" s="52"/>
      <c r="AD1123"/>
      <c r="AE1123"/>
    </row>
    <row r="1124" spans="15:31" x14ac:dyDescent="0.25">
      <c r="O1124" s="52"/>
      <c r="P1124" s="52"/>
      <c r="AD1124"/>
      <c r="AE1124"/>
    </row>
    <row r="1125" spans="15:31" x14ac:dyDescent="0.25">
      <c r="O1125" s="52"/>
      <c r="P1125" s="52"/>
      <c r="AD1125"/>
      <c r="AE1125"/>
    </row>
    <row r="1126" spans="15:31" x14ac:dyDescent="0.25">
      <c r="O1126" s="52"/>
      <c r="P1126" s="52"/>
      <c r="AD1126"/>
      <c r="AE1126"/>
    </row>
    <row r="1127" spans="15:31" x14ac:dyDescent="0.25">
      <c r="O1127" s="52"/>
      <c r="P1127" s="52"/>
      <c r="AD1127"/>
      <c r="AE1127"/>
    </row>
    <row r="1128" spans="15:31" x14ac:dyDescent="0.25">
      <c r="O1128" s="52"/>
      <c r="P1128" s="52"/>
      <c r="AD1128"/>
      <c r="AE1128"/>
    </row>
    <row r="1129" spans="15:31" x14ac:dyDescent="0.25">
      <c r="O1129" s="52"/>
      <c r="P1129" s="52"/>
      <c r="AD1129"/>
      <c r="AE1129"/>
    </row>
    <row r="1130" spans="15:31" x14ac:dyDescent="0.25">
      <c r="O1130" s="52"/>
      <c r="P1130" s="52"/>
      <c r="AD1130"/>
      <c r="AE1130"/>
    </row>
    <row r="1131" spans="15:31" x14ac:dyDescent="0.25">
      <c r="O1131" s="52"/>
      <c r="P1131" s="52"/>
      <c r="AD1131"/>
      <c r="AE1131"/>
    </row>
    <row r="1132" spans="15:31" x14ac:dyDescent="0.25">
      <c r="O1132" s="52"/>
      <c r="P1132" s="52"/>
      <c r="AD1132"/>
      <c r="AE1132"/>
    </row>
    <row r="1133" spans="15:31" x14ac:dyDescent="0.25">
      <c r="O1133" s="52"/>
      <c r="P1133" s="52"/>
      <c r="AD1133"/>
      <c r="AE1133"/>
    </row>
    <row r="1134" spans="15:31" x14ac:dyDescent="0.25">
      <c r="O1134" s="52"/>
      <c r="P1134" s="52"/>
      <c r="AD1134"/>
      <c r="AE1134"/>
    </row>
    <row r="1135" spans="15:31" x14ac:dyDescent="0.25">
      <c r="O1135" s="52"/>
      <c r="P1135" s="52"/>
      <c r="AD1135"/>
      <c r="AE1135"/>
    </row>
    <row r="1136" spans="15:31" x14ac:dyDescent="0.25">
      <c r="O1136" s="52"/>
      <c r="P1136" s="52"/>
      <c r="AD1136"/>
      <c r="AE1136"/>
    </row>
    <row r="1137" spans="15:31" x14ac:dyDescent="0.25">
      <c r="O1137" s="52"/>
      <c r="P1137" s="52"/>
      <c r="AD1137"/>
      <c r="AE1137"/>
    </row>
    <row r="1138" spans="15:31" x14ac:dyDescent="0.25">
      <c r="O1138" s="52"/>
      <c r="P1138" s="52"/>
      <c r="AD1138"/>
      <c r="AE1138"/>
    </row>
    <row r="1139" spans="15:31" x14ac:dyDescent="0.25">
      <c r="O1139" s="52"/>
      <c r="P1139" s="52"/>
      <c r="AD1139"/>
      <c r="AE1139"/>
    </row>
    <row r="1140" spans="15:31" x14ac:dyDescent="0.25">
      <c r="O1140" s="52"/>
      <c r="P1140" s="52"/>
      <c r="AD1140"/>
      <c r="AE1140"/>
    </row>
    <row r="1141" spans="15:31" x14ac:dyDescent="0.25">
      <c r="O1141" s="52"/>
      <c r="P1141" s="52"/>
      <c r="AD1141"/>
      <c r="AE1141"/>
    </row>
    <row r="1142" spans="15:31" x14ac:dyDescent="0.25">
      <c r="O1142" s="52"/>
      <c r="P1142" s="52"/>
      <c r="AD1142"/>
      <c r="AE1142"/>
    </row>
    <row r="1143" spans="15:31" x14ac:dyDescent="0.25">
      <c r="O1143" s="52"/>
      <c r="P1143" s="52"/>
      <c r="AD1143"/>
      <c r="AE1143"/>
    </row>
    <row r="1144" spans="15:31" x14ac:dyDescent="0.25">
      <c r="O1144" s="52"/>
      <c r="P1144" s="52"/>
      <c r="AD1144"/>
      <c r="AE1144"/>
    </row>
    <row r="1145" spans="15:31" x14ac:dyDescent="0.25">
      <c r="O1145" s="52"/>
      <c r="P1145" s="52"/>
      <c r="AD1145"/>
      <c r="AE1145"/>
    </row>
    <row r="1146" spans="15:31" x14ac:dyDescent="0.25">
      <c r="O1146" s="52"/>
      <c r="P1146" s="52"/>
      <c r="AD1146"/>
      <c r="AE1146"/>
    </row>
    <row r="1147" spans="15:31" x14ac:dyDescent="0.25">
      <c r="O1147" s="52"/>
      <c r="P1147" s="52"/>
      <c r="AD1147"/>
      <c r="AE1147"/>
    </row>
    <row r="1148" spans="15:31" x14ac:dyDescent="0.25">
      <c r="O1148" s="52"/>
      <c r="P1148" s="52"/>
      <c r="AD1148"/>
      <c r="AE1148"/>
    </row>
    <row r="1149" spans="15:31" x14ac:dyDescent="0.25">
      <c r="O1149" s="52"/>
      <c r="P1149" s="52"/>
      <c r="AD1149"/>
      <c r="AE1149"/>
    </row>
    <row r="1150" spans="15:31" x14ac:dyDescent="0.25">
      <c r="O1150" s="52"/>
      <c r="P1150" s="52"/>
      <c r="AD1150"/>
      <c r="AE1150"/>
    </row>
    <row r="1151" spans="15:31" x14ac:dyDescent="0.25">
      <c r="O1151" s="52"/>
      <c r="P1151" s="52"/>
      <c r="AD1151"/>
      <c r="AE1151"/>
    </row>
    <row r="1152" spans="15:31" x14ac:dyDescent="0.25">
      <c r="O1152" s="52"/>
      <c r="P1152" s="52"/>
      <c r="AD1152"/>
      <c r="AE1152"/>
    </row>
    <row r="1153" spans="15:31" x14ac:dyDescent="0.25">
      <c r="O1153" s="52"/>
      <c r="P1153" s="52"/>
      <c r="AD1153"/>
      <c r="AE1153"/>
    </row>
    <row r="1154" spans="15:31" x14ac:dyDescent="0.25">
      <c r="O1154" s="52"/>
      <c r="P1154" s="52"/>
      <c r="AD1154"/>
      <c r="AE1154"/>
    </row>
    <row r="1155" spans="15:31" x14ac:dyDescent="0.25">
      <c r="O1155" s="52"/>
      <c r="P1155" s="52"/>
      <c r="AD1155"/>
      <c r="AE1155"/>
    </row>
    <row r="1156" spans="15:31" x14ac:dyDescent="0.25">
      <c r="O1156" s="52"/>
      <c r="P1156" s="52"/>
      <c r="AD1156"/>
      <c r="AE1156"/>
    </row>
    <row r="1157" spans="15:31" x14ac:dyDescent="0.25">
      <c r="O1157" s="52"/>
      <c r="P1157" s="52"/>
      <c r="AD1157"/>
      <c r="AE1157"/>
    </row>
    <row r="1158" spans="15:31" x14ac:dyDescent="0.25">
      <c r="O1158" s="52"/>
      <c r="P1158" s="52"/>
      <c r="AD1158"/>
      <c r="AE1158"/>
    </row>
    <row r="1159" spans="15:31" x14ac:dyDescent="0.25">
      <c r="O1159" s="52"/>
      <c r="P1159" s="52"/>
      <c r="AD1159"/>
      <c r="AE1159"/>
    </row>
    <row r="1160" spans="15:31" x14ac:dyDescent="0.25">
      <c r="O1160" s="52"/>
      <c r="P1160" s="52"/>
      <c r="AD1160"/>
      <c r="AE1160"/>
    </row>
    <row r="1161" spans="15:31" x14ac:dyDescent="0.25">
      <c r="O1161" s="52"/>
      <c r="P1161" s="52"/>
      <c r="AD1161"/>
      <c r="AE1161"/>
    </row>
    <row r="1162" spans="15:31" x14ac:dyDescent="0.25">
      <c r="O1162" s="52"/>
      <c r="P1162" s="52"/>
      <c r="AD1162"/>
      <c r="AE1162"/>
    </row>
    <row r="1163" spans="15:31" x14ac:dyDescent="0.25">
      <c r="O1163" s="52"/>
      <c r="P1163" s="52"/>
      <c r="AD1163"/>
      <c r="AE1163"/>
    </row>
    <row r="1164" spans="15:31" x14ac:dyDescent="0.25">
      <c r="O1164" s="52"/>
      <c r="P1164" s="52"/>
      <c r="AD1164"/>
      <c r="AE1164"/>
    </row>
    <row r="1165" spans="15:31" x14ac:dyDescent="0.25">
      <c r="O1165" s="52"/>
      <c r="P1165" s="52"/>
      <c r="AD1165"/>
      <c r="AE1165"/>
    </row>
    <row r="1166" spans="15:31" x14ac:dyDescent="0.25">
      <c r="O1166" s="52"/>
      <c r="P1166" s="52"/>
      <c r="AD1166"/>
      <c r="AE1166"/>
    </row>
    <row r="1167" spans="15:31" x14ac:dyDescent="0.25">
      <c r="O1167" s="52"/>
      <c r="P1167" s="52"/>
      <c r="AD1167"/>
      <c r="AE1167"/>
    </row>
    <row r="1168" spans="15:31" x14ac:dyDescent="0.25">
      <c r="O1168" s="52"/>
      <c r="P1168" s="52"/>
      <c r="AD1168"/>
      <c r="AE1168"/>
    </row>
    <row r="1169" spans="15:31" x14ac:dyDescent="0.25">
      <c r="O1169" s="52"/>
      <c r="P1169" s="52"/>
      <c r="AD1169"/>
      <c r="AE1169"/>
    </row>
    <row r="1170" spans="15:31" x14ac:dyDescent="0.25">
      <c r="O1170" s="52"/>
      <c r="P1170" s="52"/>
      <c r="AD1170"/>
      <c r="AE1170"/>
    </row>
    <row r="1171" spans="15:31" x14ac:dyDescent="0.25">
      <c r="O1171" s="52"/>
      <c r="P1171" s="52"/>
      <c r="AD1171"/>
      <c r="AE1171"/>
    </row>
    <row r="1172" spans="15:31" x14ac:dyDescent="0.25">
      <c r="O1172" s="52"/>
      <c r="P1172" s="52"/>
      <c r="AD1172"/>
      <c r="AE1172"/>
    </row>
    <row r="1173" spans="15:31" x14ac:dyDescent="0.25">
      <c r="O1173" s="52"/>
      <c r="P1173" s="52"/>
      <c r="AD1173"/>
      <c r="AE1173"/>
    </row>
    <row r="1174" spans="15:31" x14ac:dyDescent="0.25">
      <c r="O1174" s="52"/>
      <c r="P1174" s="52"/>
      <c r="AD1174"/>
      <c r="AE1174"/>
    </row>
    <row r="1175" spans="15:31" x14ac:dyDescent="0.25">
      <c r="O1175" s="52"/>
      <c r="P1175" s="52"/>
      <c r="AD1175"/>
      <c r="AE1175"/>
    </row>
    <row r="1176" spans="15:31" x14ac:dyDescent="0.25">
      <c r="O1176" s="52"/>
      <c r="P1176" s="52"/>
      <c r="AD1176"/>
      <c r="AE1176"/>
    </row>
    <row r="1177" spans="15:31" x14ac:dyDescent="0.25">
      <c r="O1177" s="52"/>
      <c r="P1177" s="52"/>
      <c r="AD1177"/>
      <c r="AE1177"/>
    </row>
    <row r="1178" spans="15:31" x14ac:dyDescent="0.25">
      <c r="O1178" s="52"/>
      <c r="P1178" s="52"/>
      <c r="AD1178"/>
      <c r="AE1178"/>
    </row>
    <row r="1179" spans="15:31" x14ac:dyDescent="0.25">
      <c r="O1179" s="52"/>
      <c r="P1179" s="52"/>
      <c r="AD1179"/>
      <c r="AE1179"/>
    </row>
    <row r="1180" spans="15:31" x14ac:dyDescent="0.25">
      <c r="O1180" s="52"/>
      <c r="P1180" s="52"/>
      <c r="AD1180"/>
      <c r="AE1180"/>
    </row>
    <row r="1181" spans="15:31" x14ac:dyDescent="0.25">
      <c r="O1181" s="52"/>
      <c r="P1181" s="52"/>
      <c r="AD1181"/>
      <c r="AE1181"/>
    </row>
    <row r="1182" spans="15:31" x14ac:dyDescent="0.25">
      <c r="O1182" s="52"/>
      <c r="P1182" s="52"/>
      <c r="AD1182"/>
      <c r="AE1182"/>
    </row>
    <row r="1183" spans="15:31" x14ac:dyDescent="0.25">
      <c r="O1183" s="52"/>
      <c r="P1183" s="52"/>
      <c r="AD1183"/>
      <c r="AE1183"/>
    </row>
    <row r="1184" spans="15:31" x14ac:dyDescent="0.25">
      <c r="O1184" s="52"/>
      <c r="P1184" s="52"/>
      <c r="AD1184"/>
      <c r="AE1184"/>
    </row>
    <row r="1185" spans="15:31" x14ac:dyDescent="0.25">
      <c r="O1185" s="52"/>
      <c r="P1185" s="52"/>
      <c r="AD1185"/>
      <c r="AE1185"/>
    </row>
    <row r="1186" spans="15:31" x14ac:dyDescent="0.25">
      <c r="O1186" s="52"/>
      <c r="P1186" s="52"/>
      <c r="AD1186"/>
      <c r="AE1186"/>
    </row>
    <row r="1187" spans="15:31" x14ac:dyDescent="0.25">
      <c r="O1187" s="52"/>
      <c r="P1187" s="52"/>
      <c r="AD1187"/>
      <c r="AE1187"/>
    </row>
    <row r="1188" spans="15:31" x14ac:dyDescent="0.25">
      <c r="O1188" s="52"/>
      <c r="P1188" s="52"/>
      <c r="AD1188"/>
      <c r="AE1188"/>
    </row>
    <row r="1189" spans="15:31" x14ac:dyDescent="0.25">
      <c r="O1189" s="52"/>
      <c r="P1189" s="52"/>
      <c r="AD1189"/>
      <c r="AE1189"/>
    </row>
    <row r="1190" spans="15:31" x14ac:dyDescent="0.25">
      <c r="O1190" s="52"/>
      <c r="P1190" s="52"/>
      <c r="AD1190"/>
      <c r="AE1190"/>
    </row>
    <row r="1191" spans="15:31" x14ac:dyDescent="0.25">
      <c r="O1191" s="52"/>
      <c r="P1191" s="52"/>
      <c r="AD1191"/>
      <c r="AE1191"/>
    </row>
    <row r="1192" spans="15:31" x14ac:dyDescent="0.25">
      <c r="O1192" s="52"/>
      <c r="P1192" s="52"/>
      <c r="AD1192"/>
      <c r="AE1192"/>
    </row>
    <row r="1193" spans="15:31" x14ac:dyDescent="0.25">
      <c r="O1193" s="52"/>
      <c r="P1193" s="52"/>
      <c r="AD1193"/>
      <c r="AE1193"/>
    </row>
    <row r="1194" spans="15:31" x14ac:dyDescent="0.25">
      <c r="O1194" s="52"/>
      <c r="P1194" s="52"/>
      <c r="AD1194"/>
      <c r="AE1194"/>
    </row>
    <row r="1195" spans="15:31" x14ac:dyDescent="0.25">
      <c r="O1195" s="52"/>
      <c r="P1195" s="52"/>
      <c r="AD1195"/>
      <c r="AE1195"/>
    </row>
    <row r="1196" spans="15:31" x14ac:dyDescent="0.25">
      <c r="O1196" s="52"/>
      <c r="P1196" s="52"/>
      <c r="AD1196"/>
      <c r="AE1196"/>
    </row>
    <row r="1197" spans="15:31" x14ac:dyDescent="0.25">
      <c r="O1197" s="52"/>
      <c r="P1197" s="52"/>
      <c r="AD1197"/>
      <c r="AE1197"/>
    </row>
    <row r="1198" spans="15:31" x14ac:dyDescent="0.25">
      <c r="O1198" s="52"/>
      <c r="P1198" s="52"/>
      <c r="AD1198"/>
      <c r="AE1198"/>
    </row>
    <row r="1199" spans="15:31" x14ac:dyDescent="0.25">
      <c r="O1199" s="52"/>
      <c r="P1199" s="52"/>
      <c r="AD1199"/>
      <c r="AE1199"/>
    </row>
    <row r="1200" spans="15:31" x14ac:dyDescent="0.25">
      <c r="O1200" s="52"/>
      <c r="P1200" s="52"/>
      <c r="AD1200"/>
      <c r="AE1200"/>
    </row>
    <row r="1201" spans="15:31" x14ac:dyDescent="0.25">
      <c r="O1201" s="52"/>
      <c r="P1201" s="52"/>
      <c r="AD1201"/>
      <c r="AE1201"/>
    </row>
    <row r="1202" spans="15:31" x14ac:dyDescent="0.25">
      <c r="O1202" s="52"/>
      <c r="P1202" s="52"/>
      <c r="AD1202"/>
      <c r="AE1202"/>
    </row>
    <row r="1203" spans="15:31" x14ac:dyDescent="0.25">
      <c r="O1203" s="52"/>
      <c r="P1203" s="52"/>
      <c r="AD1203"/>
      <c r="AE1203"/>
    </row>
    <row r="1204" spans="15:31" x14ac:dyDescent="0.25">
      <c r="O1204" s="52"/>
      <c r="P1204" s="52"/>
      <c r="AD1204"/>
      <c r="AE1204"/>
    </row>
    <row r="1205" spans="15:31" x14ac:dyDescent="0.25">
      <c r="O1205" s="52"/>
      <c r="P1205" s="52"/>
      <c r="AD1205"/>
      <c r="AE1205"/>
    </row>
    <row r="1206" spans="15:31" x14ac:dyDescent="0.25">
      <c r="O1206" s="52"/>
      <c r="P1206" s="52"/>
      <c r="AD1206"/>
      <c r="AE1206"/>
    </row>
    <row r="1207" spans="15:31" x14ac:dyDescent="0.25">
      <c r="O1207" s="52"/>
      <c r="P1207" s="52"/>
      <c r="AD1207"/>
      <c r="AE1207"/>
    </row>
    <row r="1208" spans="15:31" x14ac:dyDescent="0.25">
      <c r="O1208" s="52"/>
      <c r="P1208" s="52"/>
      <c r="AD1208"/>
      <c r="AE1208"/>
    </row>
    <row r="1209" spans="15:31" x14ac:dyDescent="0.25">
      <c r="O1209" s="52"/>
      <c r="P1209" s="52"/>
      <c r="AD1209"/>
      <c r="AE1209"/>
    </row>
    <row r="1210" spans="15:31" x14ac:dyDescent="0.25">
      <c r="O1210" s="52"/>
      <c r="P1210" s="52"/>
      <c r="AD1210"/>
      <c r="AE1210"/>
    </row>
    <row r="1211" spans="15:31" x14ac:dyDescent="0.25">
      <c r="O1211" s="52"/>
      <c r="P1211" s="52"/>
      <c r="AD1211"/>
      <c r="AE1211"/>
    </row>
    <row r="1212" spans="15:31" x14ac:dyDescent="0.25">
      <c r="O1212" s="52"/>
      <c r="P1212" s="52"/>
      <c r="AD1212"/>
      <c r="AE1212"/>
    </row>
    <row r="1213" spans="15:31" x14ac:dyDescent="0.25">
      <c r="O1213" s="52"/>
      <c r="P1213" s="52"/>
      <c r="AD1213"/>
      <c r="AE1213"/>
    </row>
    <row r="1214" spans="15:31" x14ac:dyDescent="0.25">
      <c r="O1214" s="52"/>
      <c r="P1214" s="52"/>
      <c r="AD1214"/>
      <c r="AE1214"/>
    </row>
    <row r="1215" spans="15:31" x14ac:dyDescent="0.25">
      <c r="O1215" s="52"/>
      <c r="P1215" s="52"/>
      <c r="AD1215"/>
      <c r="AE1215"/>
    </row>
    <row r="1216" spans="15:31" x14ac:dyDescent="0.25">
      <c r="O1216" s="52"/>
      <c r="P1216" s="52"/>
      <c r="AD1216"/>
      <c r="AE1216"/>
    </row>
    <row r="1217" spans="15:31" x14ac:dyDescent="0.25">
      <c r="O1217" s="52"/>
      <c r="P1217" s="52"/>
      <c r="AD1217"/>
      <c r="AE1217"/>
    </row>
    <row r="1218" spans="15:31" x14ac:dyDescent="0.25">
      <c r="O1218" s="52"/>
      <c r="P1218" s="52"/>
      <c r="AD1218"/>
      <c r="AE1218"/>
    </row>
    <row r="1219" spans="15:31" x14ac:dyDescent="0.25">
      <c r="O1219" s="52"/>
      <c r="P1219" s="52"/>
      <c r="AD1219"/>
      <c r="AE1219"/>
    </row>
    <row r="1220" spans="15:31" x14ac:dyDescent="0.25">
      <c r="O1220" s="52"/>
      <c r="P1220" s="52"/>
      <c r="AD1220"/>
      <c r="AE1220"/>
    </row>
    <row r="1221" spans="15:31" x14ac:dyDescent="0.25">
      <c r="O1221" s="52"/>
      <c r="P1221" s="52"/>
      <c r="AD1221"/>
      <c r="AE1221"/>
    </row>
    <row r="1222" spans="15:31" x14ac:dyDescent="0.25">
      <c r="O1222" s="52"/>
      <c r="P1222" s="52"/>
      <c r="AD1222"/>
      <c r="AE1222"/>
    </row>
    <row r="1223" spans="15:31" x14ac:dyDescent="0.25">
      <c r="O1223" s="52"/>
      <c r="P1223" s="52"/>
      <c r="AD1223"/>
      <c r="AE1223"/>
    </row>
    <row r="1224" spans="15:31" x14ac:dyDescent="0.25">
      <c r="O1224" s="52"/>
      <c r="P1224" s="52"/>
      <c r="AD1224"/>
      <c r="AE1224"/>
    </row>
    <row r="1225" spans="15:31" x14ac:dyDescent="0.25">
      <c r="O1225" s="52"/>
      <c r="P1225" s="52"/>
      <c r="AD1225"/>
      <c r="AE1225"/>
    </row>
    <row r="1226" spans="15:31" x14ac:dyDescent="0.25">
      <c r="O1226" s="52"/>
      <c r="P1226" s="52"/>
      <c r="AD1226"/>
      <c r="AE1226"/>
    </row>
    <row r="1227" spans="15:31" x14ac:dyDescent="0.25">
      <c r="O1227" s="52"/>
      <c r="P1227" s="52"/>
      <c r="AD1227"/>
      <c r="AE1227"/>
    </row>
    <row r="1228" spans="15:31" x14ac:dyDescent="0.25">
      <c r="O1228" s="52"/>
      <c r="P1228" s="52"/>
      <c r="AD1228"/>
      <c r="AE1228"/>
    </row>
    <row r="1229" spans="15:31" x14ac:dyDescent="0.25">
      <c r="O1229" s="52"/>
      <c r="P1229" s="52"/>
      <c r="AD1229"/>
      <c r="AE1229"/>
    </row>
    <row r="1230" spans="15:31" x14ac:dyDescent="0.25">
      <c r="O1230" s="52"/>
      <c r="P1230" s="52"/>
      <c r="AD1230"/>
      <c r="AE1230"/>
    </row>
    <row r="1231" spans="15:31" x14ac:dyDescent="0.25">
      <c r="O1231" s="52"/>
      <c r="P1231" s="52"/>
      <c r="AD1231"/>
      <c r="AE1231"/>
    </row>
    <row r="1232" spans="15:31" x14ac:dyDescent="0.25">
      <c r="O1232" s="52"/>
      <c r="P1232" s="52"/>
      <c r="AD1232"/>
      <c r="AE1232"/>
    </row>
    <row r="1233" spans="15:31" x14ac:dyDescent="0.25">
      <c r="O1233" s="52"/>
      <c r="P1233" s="52"/>
      <c r="AD1233"/>
      <c r="AE1233"/>
    </row>
    <row r="1234" spans="15:31" x14ac:dyDescent="0.25">
      <c r="O1234" s="52"/>
      <c r="P1234" s="52"/>
      <c r="AD1234"/>
      <c r="AE1234"/>
    </row>
    <row r="1235" spans="15:31" x14ac:dyDescent="0.25">
      <c r="O1235" s="52"/>
      <c r="P1235" s="52"/>
      <c r="AD1235"/>
      <c r="AE1235"/>
    </row>
    <row r="1236" spans="15:31" x14ac:dyDescent="0.25">
      <c r="O1236" s="52"/>
      <c r="P1236" s="52"/>
      <c r="AD1236"/>
      <c r="AE1236"/>
    </row>
    <row r="1237" spans="15:31" x14ac:dyDescent="0.25">
      <c r="O1237" s="52"/>
      <c r="P1237" s="52"/>
      <c r="AD1237"/>
      <c r="AE1237"/>
    </row>
    <row r="1238" spans="15:31" x14ac:dyDescent="0.25">
      <c r="O1238" s="52"/>
      <c r="P1238" s="52"/>
      <c r="AD1238"/>
      <c r="AE1238"/>
    </row>
    <row r="1239" spans="15:31" x14ac:dyDescent="0.25">
      <c r="O1239" s="52"/>
      <c r="P1239" s="52"/>
      <c r="AD1239"/>
      <c r="AE1239"/>
    </row>
    <row r="1240" spans="15:31" x14ac:dyDescent="0.25">
      <c r="O1240" s="52"/>
      <c r="P1240" s="52"/>
      <c r="AD1240"/>
      <c r="AE1240"/>
    </row>
    <row r="1241" spans="15:31" x14ac:dyDescent="0.25">
      <c r="O1241" s="52"/>
      <c r="P1241" s="52"/>
      <c r="AD1241"/>
      <c r="AE1241"/>
    </row>
    <row r="1242" spans="15:31" x14ac:dyDescent="0.25">
      <c r="O1242" s="52"/>
      <c r="P1242" s="52"/>
      <c r="AD1242"/>
      <c r="AE1242"/>
    </row>
    <row r="1243" spans="15:31" x14ac:dyDescent="0.25">
      <c r="O1243" s="52"/>
      <c r="P1243" s="52"/>
      <c r="AD1243"/>
      <c r="AE1243"/>
    </row>
    <row r="1244" spans="15:31" x14ac:dyDescent="0.25">
      <c r="O1244" s="52"/>
      <c r="P1244" s="52"/>
      <c r="AD1244"/>
      <c r="AE1244"/>
    </row>
    <row r="1245" spans="15:31" x14ac:dyDescent="0.25">
      <c r="O1245" s="52"/>
      <c r="P1245" s="52"/>
      <c r="AD1245"/>
      <c r="AE1245"/>
    </row>
    <row r="1246" spans="15:31" x14ac:dyDescent="0.25">
      <c r="O1246" s="52"/>
      <c r="P1246" s="52"/>
      <c r="AD1246"/>
      <c r="AE1246"/>
    </row>
    <row r="1247" spans="15:31" x14ac:dyDescent="0.25">
      <c r="O1247" s="52"/>
      <c r="P1247" s="52"/>
      <c r="AD1247"/>
      <c r="AE1247"/>
    </row>
    <row r="1248" spans="15:31" x14ac:dyDescent="0.25">
      <c r="O1248" s="52"/>
      <c r="P1248" s="52"/>
      <c r="AD1248"/>
      <c r="AE1248"/>
    </row>
    <row r="1249" spans="15:31" x14ac:dyDescent="0.25">
      <c r="O1249" s="52"/>
      <c r="P1249" s="52"/>
      <c r="AD1249"/>
      <c r="AE1249"/>
    </row>
    <row r="1250" spans="15:31" x14ac:dyDescent="0.25">
      <c r="O1250" s="52"/>
      <c r="P1250" s="52"/>
      <c r="AD1250"/>
      <c r="AE1250"/>
    </row>
    <row r="1251" spans="15:31" x14ac:dyDescent="0.25">
      <c r="O1251" s="52"/>
      <c r="P1251" s="52"/>
      <c r="AD1251"/>
      <c r="AE1251"/>
    </row>
    <row r="1252" spans="15:31" x14ac:dyDescent="0.25">
      <c r="O1252" s="52"/>
      <c r="P1252" s="52"/>
      <c r="AD1252"/>
      <c r="AE1252"/>
    </row>
    <row r="1253" spans="15:31" x14ac:dyDescent="0.25">
      <c r="O1253" s="52"/>
      <c r="P1253" s="52"/>
      <c r="AD1253"/>
      <c r="AE1253"/>
    </row>
    <row r="1254" spans="15:31" x14ac:dyDescent="0.25">
      <c r="O1254" s="52"/>
      <c r="P1254" s="52"/>
      <c r="AD1254"/>
      <c r="AE1254"/>
    </row>
    <row r="1255" spans="15:31" x14ac:dyDescent="0.25">
      <c r="O1255" s="52"/>
      <c r="P1255" s="52"/>
      <c r="AD1255"/>
      <c r="AE1255"/>
    </row>
    <row r="1256" spans="15:31" x14ac:dyDescent="0.25">
      <c r="O1256" s="52"/>
      <c r="P1256" s="52"/>
      <c r="AD1256"/>
      <c r="AE1256"/>
    </row>
    <row r="1257" spans="15:31" x14ac:dyDescent="0.25">
      <c r="O1257" s="52"/>
      <c r="P1257" s="52"/>
      <c r="AD1257"/>
      <c r="AE1257"/>
    </row>
    <row r="1258" spans="15:31" x14ac:dyDescent="0.25">
      <c r="O1258" s="52"/>
      <c r="P1258" s="52"/>
      <c r="AD1258"/>
      <c r="AE1258"/>
    </row>
    <row r="1259" spans="15:31" x14ac:dyDescent="0.25">
      <c r="O1259" s="52"/>
      <c r="P1259" s="52"/>
      <c r="AD1259"/>
      <c r="AE1259"/>
    </row>
    <row r="1260" spans="15:31" x14ac:dyDescent="0.25">
      <c r="O1260" s="52"/>
      <c r="P1260" s="52"/>
      <c r="AD1260"/>
      <c r="AE1260"/>
    </row>
    <row r="1261" spans="15:31" x14ac:dyDescent="0.25">
      <c r="O1261" s="52"/>
      <c r="P1261" s="52"/>
      <c r="AD1261"/>
      <c r="AE1261"/>
    </row>
    <row r="1262" spans="15:31" x14ac:dyDescent="0.25">
      <c r="O1262" s="52"/>
      <c r="P1262" s="52"/>
      <c r="AD1262"/>
      <c r="AE1262"/>
    </row>
    <row r="1263" spans="15:31" x14ac:dyDescent="0.25">
      <c r="O1263" s="52"/>
      <c r="P1263" s="52"/>
      <c r="AD1263"/>
      <c r="AE1263"/>
    </row>
    <row r="1264" spans="15:31" x14ac:dyDescent="0.25">
      <c r="O1264" s="52"/>
      <c r="P1264" s="52"/>
      <c r="AD1264"/>
      <c r="AE1264"/>
    </row>
    <row r="1265" spans="15:31" x14ac:dyDescent="0.25">
      <c r="O1265" s="52"/>
      <c r="P1265" s="52"/>
      <c r="AD1265"/>
      <c r="AE1265"/>
    </row>
    <row r="1266" spans="15:31" x14ac:dyDescent="0.25">
      <c r="O1266" s="52"/>
      <c r="P1266" s="52"/>
      <c r="AD1266"/>
      <c r="AE1266"/>
    </row>
    <row r="1267" spans="15:31" x14ac:dyDescent="0.25">
      <c r="O1267" s="52"/>
      <c r="P1267" s="52"/>
      <c r="AD1267"/>
      <c r="AE1267"/>
    </row>
    <row r="1268" spans="15:31" x14ac:dyDescent="0.25">
      <c r="O1268" s="52"/>
      <c r="P1268" s="52"/>
      <c r="AD1268"/>
      <c r="AE1268"/>
    </row>
    <row r="1269" spans="15:31" x14ac:dyDescent="0.25">
      <c r="O1269" s="52"/>
      <c r="P1269" s="52"/>
      <c r="AD1269"/>
      <c r="AE1269"/>
    </row>
    <row r="1270" spans="15:31" x14ac:dyDescent="0.25">
      <c r="O1270" s="52"/>
      <c r="P1270" s="52"/>
      <c r="AD1270"/>
      <c r="AE1270"/>
    </row>
    <row r="1271" spans="15:31" x14ac:dyDescent="0.25">
      <c r="O1271" s="52"/>
      <c r="P1271" s="52"/>
      <c r="AD1271"/>
      <c r="AE1271"/>
    </row>
    <row r="1272" spans="15:31" x14ac:dyDescent="0.25">
      <c r="O1272" s="52"/>
      <c r="P1272" s="52"/>
      <c r="AD1272"/>
      <c r="AE1272"/>
    </row>
    <row r="1273" spans="15:31" x14ac:dyDescent="0.25">
      <c r="O1273" s="52"/>
      <c r="P1273" s="52"/>
      <c r="AD1273"/>
      <c r="AE1273"/>
    </row>
    <row r="1274" spans="15:31" x14ac:dyDescent="0.25">
      <c r="O1274" s="52"/>
      <c r="P1274" s="52"/>
      <c r="AD1274"/>
      <c r="AE1274"/>
    </row>
    <row r="1275" spans="15:31" x14ac:dyDescent="0.25">
      <c r="O1275" s="52"/>
      <c r="P1275" s="52"/>
      <c r="AD1275"/>
      <c r="AE1275"/>
    </row>
    <row r="1276" spans="15:31" x14ac:dyDescent="0.25">
      <c r="O1276" s="52"/>
      <c r="P1276" s="52"/>
      <c r="AD1276"/>
      <c r="AE1276"/>
    </row>
    <row r="1277" spans="15:31" x14ac:dyDescent="0.25">
      <c r="O1277" s="52"/>
      <c r="P1277" s="52"/>
      <c r="AD1277"/>
      <c r="AE1277"/>
    </row>
    <row r="1278" spans="15:31" x14ac:dyDescent="0.25">
      <c r="O1278" s="52"/>
      <c r="P1278" s="52"/>
      <c r="AD1278"/>
      <c r="AE1278"/>
    </row>
    <row r="1279" spans="15:31" x14ac:dyDescent="0.25">
      <c r="O1279" s="52"/>
      <c r="P1279" s="52"/>
      <c r="AD1279"/>
      <c r="AE1279"/>
    </row>
    <row r="1280" spans="15:31" x14ac:dyDescent="0.25">
      <c r="O1280" s="52"/>
      <c r="P1280" s="52"/>
      <c r="AD1280"/>
      <c r="AE1280"/>
    </row>
    <row r="1281" spans="15:31" x14ac:dyDescent="0.25">
      <c r="O1281" s="52"/>
      <c r="P1281" s="52"/>
      <c r="AD1281"/>
      <c r="AE1281"/>
    </row>
    <row r="1282" spans="15:31" x14ac:dyDescent="0.25">
      <c r="O1282" s="52"/>
      <c r="P1282" s="52"/>
      <c r="AD1282"/>
      <c r="AE1282"/>
    </row>
    <row r="1283" spans="15:31" x14ac:dyDescent="0.25">
      <c r="O1283" s="52"/>
      <c r="P1283" s="52"/>
      <c r="AD1283"/>
      <c r="AE1283"/>
    </row>
    <row r="1284" spans="15:31" x14ac:dyDescent="0.25">
      <c r="O1284" s="52"/>
      <c r="P1284" s="52"/>
      <c r="AD1284"/>
      <c r="AE1284"/>
    </row>
    <row r="1285" spans="15:31" x14ac:dyDescent="0.25">
      <c r="O1285" s="52"/>
      <c r="P1285" s="52"/>
      <c r="AD1285"/>
      <c r="AE1285"/>
    </row>
    <row r="1286" spans="15:31" x14ac:dyDescent="0.25">
      <c r="O1286" s="52"/>
      <c r="P1286" s="52"/>
      <c r="AD1286"/>
      <c r="AE1286"/>
    </row>
    <row r="1287" spans="15:31" x14ac:dyDescent="0.25">
      <c r="O1287" s="52"/>
      <c r="P1287" s="52"/>
      <c r="AD1287"/>
      <c r="AE1287"/>
    </row>
    <row r="1288" spans="15:31" x14ac:dyDescent="0.25">
      <c r="O1288" s="52"/>
      <c r="P1288" s="52"/>
      <c r="AD1288"/>
      <c r="AE1288"/>
    </row>
    <row r="1289" spans="15:31" x14ac:dyDescent="0.25">
      <c r="O1289" s="52"/>
      <c r="P1289" s="52"/>
      <c r="AD1289"/>
      <c r="AE1289"/>
    </row>
    <row r="1290" spans="15:31" x14ac:dyDescent="0.25">
      <c r="O1290" s="52"/>
      <c r="P1290" s="52"/>
      <c r="AD1290"/>
      <c r="AE1290"/>
    </row>
    <row r="1291" spans="15:31" x14ac:dyDescent="0.25">
      <c r="O1291" s="52"/>
      <c r="P1291" s="52"/>
      <c r="AD1291"/>
      <c r="AE1291"/>
    </row>
    <row r="1292" spans="15:31" x14ac:dyDescent="0.25">
      <c r="O1292" s="52"/>
      <c r="P1292" s="52"/>
      <c r="AD1292"/>
      <c r="AE1292"/>
    </row>
    <row r="1293" spans="15:31" x14ac:dyDescent="0.25">
      <c r="O1293" s="52"/>
      <c r="P1293" s="52"/>
      <c r="AD1293"/>
      <c r="AE1293"/>
    </row>
    <row r="1294" spans="15:31" x14ac:dyDescent="0.25">
      <c r="O1294" s="52"/>
      <c r="P1294" s="52"/>
      <c r="AD1294"/>
      <c r="AE1294"/>
    </row>
    <row r="1295" spans="15:31" x14ac:dyDescent="0.25">
      <c r="O1295" s="52"/>
      <c r="P1295" s="52"/>
      <c r="AD1295"/>
      <c r="AE1295"/>
    </row>
    <row r="1296" spans="15:31" x14ac:dyDescent="0.25">
      <c r="O1296" s="52"/>
      <c r="P1296" s="52"/>
      <c r="AD1296"/>
      <c r="AE1296"/>
    </row>
    <row r="1297" spans="15:31" x14ac:dyDescent="0.25">
      <c r="O1297" s="52"/>
      <c r="P1297" s="52"/>
      <c r="AD1297"/>
      <c r="AE1297"/>
    </row>
    <row r="1298" spans="15:31" x14ac:dyDescent="0.25">
      <c r="O1298" s="52"/>
      <c r="P1298" s="52"/>
      <c r="AD1298"/>
      <c r="AE1298"/>
    </row>
    <row r="1299" spans="15:31" x14ac:dyDescent="0.25">
      <c r="O1299" s="52"/>
      <c r="P1299" s="52"/>
      <c r="AD1299"/>
      <c r="AE1299"/>
    </row>
    <row r="1300" spans="15:31" x14ac:dyDescent="0.25">
      <c r="O1300" s="52"/>
      <c r="P1300" s="52"/>
      <c r="AD1300"/>
      <c r="AE1300"/>
    </row>
    <row r="1301" spans="15:31" x14ac:dyDescent="0.25">
      <c r="O1301" s="52"/>
      <c r="P1301" s="52"/>
      <c r="AD1301"/>
      <c r="AE1301"/>
    </row>
    <row r="1302" spans="15:31" x14ac:dyDescent="0.25">
      <c r="O1302" s="52"/>
      <c r="P1302" s="52"/>
      <c r="AD1302"/>
      <c r="AE1302"/>
    </row>
    <row r="1303" spans="15:31" x14ac:dyDescent="0.25">
      <c r="O1303" s="52"/>
      <c r="P1303" s="52"/>
      <c r="AD1303"/>
      <c r="AE1303"/>
    </row>
    <row r="1304" spans="15:31" x14ac:dyDescent="0.25">
      <c r="O1304" s="52"/>
      <c r="P1304" s="52"/>
      <c r="AD1304"/>
      <c r="AE1304"/>
    </row>
    <row r="1305" spans="15:31" x14ac:dyDescent="0.25">
      <c r="O1305" s="52"/>
      <c r="P1305" s="52"/>
      <c r="AD1305"/>
      <c r="AE1305"/>
    </row>
    <row r="1306" spans="15:31" x14ac:dyDescent="0.25">
      <c r="O1306" s="52"/>
      <c r="P1306" s="52"/>
      <c r="AD1306"/>
      <c r="AE1306"/>
    </row>
    <row r="1307" spans="15:31" x14ac:dyDescent="0.25">
      <c r="O1307" s="52"/>
      <c r="P1307" s="52"/>
      <c r="AD1307"/>
      <c r="AE1307"/>
    </row>
    <row r="1308" spans="15:31" x14ac:dyDescent="0.25">
      <c r="O1308" s="52"/>
      <c r="P1308" s="52"/>
      <c r="AD1308"/>
      <c r="AE1308"/>
    </row>
    <row r="1309" spans="15:31" x14ac:dyDescent="0.25">
      <c r="O1309" s="52"/>
      <c r="P1309" s="52"/>
      <c r="AD1309"/>
      <c r="AE1309"/>
    </row>
    <row r="1310" spans="15:31" x14ac:dyDescent="0.25">
      <c r="O1310" s="52"/>
      <c r="P1310" s="52"/>
      <c r="AD1310"/>
      <c r="AE1310"/>
    </row>
    <row r="1311" spans="15:31" x14ac:dyDescent="0.25">
      <c r="O1311" s="52"/>
      <c r="P1311" s="52"/>
      <c r="AD1311"/>
      <c r="AE1311"/>
    </row>
    <row r="1312" spans="15:31" x14ac:dyDescent="0.25">
      <c r="O1312" s="52"/>
      <c r="P1312" s="52"/>
      <c r="AD1312"/>
      <c r="AE1312"/>
    </row>
    <row r="1313" spans="15:31" x14ac:dyDescent="0.25">
      <c r="O1313" s="52"/>
      <c r="P1313" s="52"/>
      <c r="AD1313"/>
      <c r="AE1313"/>
    </row>
    <row r="1314" spans="15:31" x14ac:dyDescent="0.25">
      <c r="O1314" s="52"/>
      <c r="P1314" s="52"/>
      <c r="AD1314"/>
      <c r="AE1314"/>
    </row>
    <row r="1315" spans="15:31" x14ac:dyDescent="0.25">
      <c r="O1315" s="52"/>
      <c r="P1315" s="52"/>
      <c r="AD1315"/>
      <c r="AE1315"/>
    </row>
    <row r="1316" spans="15:31" x14ac:dyDescent="0.25">
      <c r="O1316" s="52"/>
      <c r="P1316" s="52"/>
      <c r="AD1316"/>
      <c r="AE1316"/>
    </row>
    <row r="1317" spans="15:31" x14ac:dyDescent="0.25">
      <c r="O1317" s="52"/>
      <c r="P1317" s="52"/>
      <c r="AD1317"/>
      <c r="AE1317"/>
    </row>
    <row r="1318" spans="15:31" x14ac:dyDescent="0.25">
      <c r="O1318" s="52"/>
      <c r="P1318" s="52"/>
      <c r="AD1318"/>
      <c r="AE1318"/>
    </row>
    <row r="1319" spans="15:31" x14ac:dyDescent="0.25">
      <c r="O1319" s="52"/>
      <c r="P1319" s="52"/>
      <c r="AD1319"/>
      <c r="AE1319"/>
    </row>
    <row r="1320" spans="15:31" x14ac:dyDescent="0.25">
      <c r="O1320" s="52"/>
      <c r="P1320" s="52"/>
      <c r="AD1320"/>
      <c r="AE1320"/>
    </row>
    <row r="1321" spans="15:31" x14ac:dyDescent="0.25">
      <c r="O1321" s="52"/>
      <c r="P1321" s="52"/>
      <c r="AD1321"/>
      <c r="AE1321"/>
    </row>
    <row r="1322" spans="15:31" x14ac:dyDescent="0.25">
      <c r="O1322" s="52"/>
      <c r="P1322" s="52"/>
      <c r="AD1322"/>
      <c r="AE1322"/>
    </row>
    <row r="1323" spans="15:31" x14ac:dyDescent="0.25">
      <c r="O1323" s="52"/>
      <c r="P1323" s="52"/>
      <c r="AD1323"/>
      <c r="AE1323"/>
    </row>
    <row r="1324" spans="15:31" x14ac:dyDescent="0.25">
      <c r="O1324" s="52"/>
      <c r="P1324" s="52"/>
      <c r="AD1324"/>
      <c r="AE1324"/>
    </row>
    <row r="1325" spans="15:31" x14ac:dyDescent="0.25">
      <c r="O1325" s="52"/>
      <c r="P1325" s="52"/>
      <c r="AD1325"/>
      <c r="AE1325"/>
    </row>
    <row r="1326" spans="15:31" x14ac:dyDescent="0.25">
      <c r="O1326" s="52"/>
      <c r="P1326" s="52"/>
      <c r="AD1326"/>
      <c r="AE1326"/>
    </row>
    <row r="1327" spans="15:31" x14ac:dyDescent="0.25">
      <c r="O1327" s="52"/>
      <c r="P1327" s="52"/>
      <c r="AD1327"/>
      <c r="AE1327"/>
    </row>
    <row r="1328" spans="15:31" x14ac:dyDescent="0.25">
      <c r="O1328" s="52"/>
      <c r="P1328" s="52"/>
      <c r="AD1328"/>
      <c r="AE1328"/>
    </row>
    <row r="1329" spans="15:31" x14ac:dyDescent="0.25">
      <c r="O1329" s="52"/>
      <c r="P1329" s="52"/>
      <c r="AD1329"/>
      <c r="AE1329"/>
    </row>
    <row r="1330" spans="15:31" x14ac:dyDescent="0.25">
      <c r="O1330" s="52"/>
      <c r="P1330" s="52"/>
      <c r="AD1330"/>
      <c r="AE1330"/>
    </row>
    <row r="1331" spans="15:31" x14ac:dyDescent="0.25">
      <c r="O1331" s="52"/>
      <c r="P1331" s="52"/>
      <c r="AD1331"/>
      <c r="AE1331"/>
    </row>
    <row r="1332" spans="15:31" x14ac:dyDescent="0.25">
      <c r="O1332" s="52"/>
      <c r="P1332" s="52"/>
      <c r="AD1332"/>
      <c r="AE1332"/>
    </row>
    <row r="1333" spans="15:31" x14ac:dyDescent="0.25">
      <c r="O1333" s="52"/>
      <c r="P1333" s="52"/>
      <c r="AD1333"/>
      <c r="AE1333"/>
    </row>
    <row r="1334" spans="15:31" x14ac:dyDescent="0.25">
      <c r="O1334" s="52"/>
      <c r="P1334" s="52"/>
      <c r="AD1334"/>
      <c r="AE1334"/>
    </row>
    <row r="1335" spans="15:31" x14ac:dyDescent="0.25">
      <c r="O1335" s="52"/>
      <c r="P1335" s="52"/>
      <c r="AD1335"/>
      <c r="AE1335"/>
    </row>
    <row r="1336" spans="15:31" x14ac:dyDescent="0.25">
      <c r="O1336" s="52"/>
      <c r="P1336" s="52"/>
      <c r="AD1336"/>
      <c r="AE1336"/>
    </row>
    <row r="1337" spans="15:31" x14ac:dyDescent="0.25">
      <c r="O1337" s="52"/>
      <c r="P1337" s="52"/>
      <c r="AD1337"/>
      <c r="AE1337"/>
    </row>
    <row r="1338" spans="15:31" x14ac:dyDescent="0.25">
      <c r="O1338" s="52"/>
      <c r="P1338" s="52"/>
      <c r="AD1338"/>
      <c r="AE1338"/>
    </row>
    <row r="1339" spans="15:31" x14ac:dyDescent="0.25">
      <c r="O1339" s="52"/>
      <c r="P1339" s="52"/>
      <c r="AD1339"/>
      <c r="AE1339"/>
    </row>
    <row r="1340" spans="15:31" x14ac:dyDescent="0.25">
      <c r="O1340" s="52"/>
      <c r="P1340" s="52"/>
      <c r="AD1340"/>
      <c r="AE1340"/>
    </row>
    <row r="1341" spans="15:31" x14ac:dyDescent="0.25">
      <c r="O1341" s="52"/>
      <c r="P1341" s="52"/>
      <c r="AD1341"/>
      <c r="AE1341"/>
    </row>
    <row r="1342" spans="15:31" x14ac:dyDescent="0.25">
      <c r="O1342" s="52"/>
      <c r="P1342" s="52"/>
      <c r="AD1342"/>
      <c r="AE1342"/>
    </row>
    <row r="1343" spans="15:31" x14ac:dyDescent="0.25">
      <c r="O1343" s="52"/>
      <c r="P1343" s="52"/>
      <c r="AD1343"/>
      <c r="AE1343"/>
    </row>
    <row r="1344" spans="15:31" x14ac:dyDescent="0.25">
      <c r="O1344" s="52"/>
      <c r="P1344" s="52"/>
      <c r="AD1344"/>
      <c r="AE1344"/>
    </row>
    <row r="1345" spans="15:31" x14ac:dyDescent="0.25">
      <c r="O1345" s="52"/>
      <c r="P1345" s="52"/>
      <c r="AD1345"/>
      <c r="AE1345"/>
    </row>
    <row r="1346" spans="15:31" x14ac:dyDescent="0.25">
      <c r="O1346" s="52"/>
      <c r="P1346" s="52"/>
      <c r="AD1346"/>
      <c r="AE1346"/>
    </row>
    <row r="1347" spans="15:31" x14ac:dyDescent="0.25">
      <c r="O1347" s="52"/>
      <c r="P1347" s="52"/>
      <c r="AD1347"/>
      <c r="AE1347"/>
    </row>
    <row r="1348" spans="15:31" x14ac:dyDescent="0.25">
      <c r="O1348" s="52"/>
      <c r="P1348" s="52"/>
      <c r="AD1348"/>
      <c r="AE1348"/>
    </row>
    <row r="1349" spans="15:31" x14ac:dyDescent="0.25">
      <c r="O1349" s="52"/>
      <c r="P1349" s="52"/>
      <c r="AD1349"/>
      <c r="AE1349"/>
    </row>
    <row r="1350" spans="15:31" x14ac:dyDescent="0.25">
      <c r="O1350" s="52"/>
      <c r="P1350" s="52"/>
      <c r="AD1350"/>
      <c r="AE1350"/>
    </row>
    <row r="1351" spans="15:31" x14ac:dyDescent="0.25">
      <c r="O1351" s="52"/>
      <c r="P1351" s="52"/>
      <c r="AD1351"/>
      <c r="AE1351"/>
    </row>
    <row r="1352" spans="15:31" x14ac:dyDescent="0.25">
      <c r="O1352" s="52"/>
      <c r="P1352" s="52"/>
      <c r="AD1352"/>
      <c r="AE1352"/>
    </row>
    <row r="1353" spans="15:31" x14ac:dyDescent="0.25">
      <c r="O1353" s="52"/>
      <c r="P1353" s="52"/>
      <c r="AD1353"/>
      <c r="AE1353"/>
    </row>
    <row r="1354" spans="15:31" x14ac:dyDescent="0.25">
      <c r="O1354" s="52"/>
      <c r="P1354" s="52"/>
      <c r="AD1354"/>
      <c r="AE1354"/>
    </row>
    <row r="1355" spans="15:31" x14ac:dyDescent="0.25">
      <c r="O1355" s="52"/>
      <c r="P1355" s="52"/>
      <c r="AD1355"/>
      <c r="AE1355"/>
    </row>
    <row r="1356" spans="15:31" x14ac:dyDescent="0.25">
      <c r="O1356" s="52"/>
      <c r="P1356" s="52"/>
      <c r="AD1356"/>
      <c r="AE1356"/>
    </row>
    <row r="1357" spans="15:31" x14ac:dyDescent="0.25">
      <c r="O1357" s="52"/>
      <c r="P1357" s="52"/>
      <c r="AD1357"/>
      <c r="AE1357"/>
    </row>
    <row r="1358" spans="15:31" x14ac:dyDescent="0.25">
      <c r="O1358" s="52"/>
      <c r="P1358" s="52"/>
      <c r="AD1358"/>
      <c r="AE1358"/>
    </row>
    <row r="1359" spans="15:31" x14ac:dyDescent="0.25">
      <c r="O1359" s="52"/>
      <c r="P1359" s="52"/>
      <c r="AD1359"/>
      <c r="AE1359"/>
    </row>
    <row r="1360" spans="15:31" x14ac:dyDescent="0.25">
      <c r="O1360" s="52"/>
      <c r="P1360" s="52"/>
      <c r="AD1360"/>
      <c r="AE1360"/>
    </row>
    <row r="1361" spans="15:31" x14ac:dyDescent="0.25">
      <c r="O1361" s="52"/>
      <c r="P1361" s="52"/>
      <c r="AD1361"/>
      <c r="AE1361"/>
    </row>
    <row r="1362" spans="15:31" x14ac:dyDescent="0.25">
      <c r="O1362" s="52"/>
      <c r="P1362" s="52"/>
      <c r="AD1362"/>
      <c r="AE1362"/>
    </row>
    <row r="1363" spans="15:31" x14ac:dyDescent="0.25">
      <c r="O1363" s="52"/>
      <c r="P1363" s="52"/>
      <c r="AD1363"/>
      <c r="AE1363"/>
    </row>
    <row r="1364" spans="15:31" x14ac:dyDescent="0.25">
      <c r="O1364" s="52"/>
      <c r="P1364" s="52"/>
      <c r="AD1364"/>
      <c r="AE1364"/>
    </row>
    <row r="1365" spans="15:31" x14ac:dyDescent="0.25">
      <c r="O1365" s="52"/>
      <c r="P1365" s="52"/>
      <c r="AD1365"/>
      <c r="AE1365"/>
    </row>
    <row r="1366" spans="15:31" x14ac:dyDescent="0.25">
      <c r="O1366" s="52"/>
      <c r="P1366" s="52"/>
      <c r="AD1366"/>
      <c r="AE1366"/>
    </row>
    <row r="1367" spans="15:31" x14ac:dyDescent="0.25">
      <c r="O1367" s="52"/>
      <c r="P1367" s="52"/>
      <c r="AD1367"/>
      <c r="AE1367"/>
    </row>
    <row r="1368" spans="15:31" x14ac:dyDescent="0.25">
      <c r="O1368" s="52"/>
      <c r="P1368" s="52"/>
      <c r="AD1368"/>
      <c r="AE1368"/>
    </row>
    <row r="1369" spans="15:31" x14ac:dyDescent="0.25">
      <c r="O1369" s="52"/>
      <c r="P1369" s="52"/>
      <c r="AD1369"/>
      <c r="AE1369"/>
    </row>
    <row r="1370" spans="15:31" x14ac:dyDescent="0.25">
      <c r="O1370" s="52"/>
      <c r="P1370" s="52"/>
      <c r="AD1370"/>
      <c r="AE1370"/>
    </row>
    <row r="1371" spans="15:31" x14ac:dyDescent="0.25">
      <c r="O1371" s="52"/>
      <c r="P1371" s="52"/>
      <c r="AD1371"/>
      <c r="AE1371"/>
    </row>
    <row r="1372" spans="15:31" x14ac:dyDescent="0.25">
      <c r="O1372" s="52"/>
      <c r="P1372" s="52"/>
      <c r="AD1372"/>
      <c r="AE1372"/>
    </row>
    <row r="1373" spans="15:31" x14ac:dyDescent="0.25">
      <c r="O1373" s="52"/>
      <c r="P1373" s="52"/>
      <c r="AD1373"/>
      <c r="AE1373"/>
    </row>
    <row r="1374" spans="15:31" x14ac:dyDescent="0.25">
      <c r="O1374" s="52"/>
      <c r="P1374" s="52"/>
      <c r="AD1374"/>
      <c r="AE1374"/>
    </row>
    <row r="1375" spans="15:31" x14ac:dyDescent="0.25">
      <c r="O1375" s="52"/>
      <c r="P1375" s="52"/>
      <c r="AD1375"/>
      <c r="AE1375"/>
    </row>
    <row r="1376" spans="15:31" x14ac:dyDescent="0.25">
      <c r="O1376" s="52"/>
      <c r="P1376" s="52"/>
      <c r="AD1376"/>
      <c r="AE1376"/>
    </row>
    <row r="1377" spans="15:31" x14ac:dyDescent="0.25">
      <c r="O1377" s="52"/>
      <c r="P1377" s="52"/>
      <c r="AD1377"/>
      <c r="AE1377"/>
    </row>
    <row r="1378" spans="15:31" x14ac:dyDescent="0.25">
      <c r="O1378" s="52"/>
      <c r="P1378" s="52"/>
      <c r="AD1378"/>
      <c r="AE1378"/>
    </row>
    <row r="1379" spans="15:31" x14ac:dyDescent="0.25">
      <c r="O1379" s="52"/>
      <c r="P1379" s="52"/>
      <c r="AD1379"/>
      <c r="AE1379"/>
    </row>
    <row r="1380" spans="15:31" x14ac:dyDescent="0.25">
      <c r="O1380" s="52"/>
      <c r="P1380" s="52"/>
      <c r="AD1380"/>
      <c r="AE1380"/>
    </row>
    <row r="1381" spans="15:31" x14ac:dyDescent="0.25">
      <c r="O1381" s="52"/>
      <c r="P1381" s="52"/>
      <c r="AD1381"/>
      <c r="AE1381"/>
    </row>
    <row r="1382" spans="15:31" x14ac:dyDescent="0.25">
      <c r="O1382" s="52"/>
      <c r="P1382" s="52"/>
      <c r="AD1382"/>
      <c r="AE1382"/>
    </row>
    <row r="1383" spans="15:31" x14ac:dyDescent="0.25">
      <c r="O1383" s="52"/>
      <c r="P1383" s="52"/>
      <c r="AD1383"/>
      <c r="AE1383"/>
    </row>
    <row r="1384" spans="15:31" x14ac:dyDescent="0.25">
      <c r="O1384" s="52"/>
      <c r="P1384" s="52"/>
      <c r="AD1384"/>
      <c r="AE1384"/>
    </row>
    <row r="1385" spans="15:31" x14ac:dyDescent="0.25">
      <c r="O1385" s="52"/>
      <c r="P1385" s="52"/>
      <c r="AD1385"/>
      <c r="AE1385"/>
    </row>
    <row r="1386" spans="15:31" x14ac:dyDescent="0.25">
      <c r="O1386" s="52"/>
      <c r="P1386" s="52"/>
      <c r="AD1386"/>
      <c r="AE1386"/>
    </row>
    <row r="1387" spans="15:31" x14ac:dyDescent="0.25">
      <c r="O1387" s="52"/>
      <c r="P1387" s="52"/>
      <c r="AD1387"/>
      <c r="AE1387"/>
    </row>
    <row r="1388" spans="15:31" x14ac:dyDescent="0.25">
      <c r="O1388" s="52"/>
      <c r="P1388" s="52"/>
      <c r="AD1388"/>
      <c r="AE1388"/>
    </row>
    <row r="1389" spans="15:31" x14ac:dyDescent="0.25">
      <c r="O1389" s="52"/>
      <c r="P1389" s="52"/>
      <c r="AD1389"/>
      <c r="AE1389"/>
    </row>
    <row r="1390" spans="15:31" x14ac:dyDescent="0.25">
      <c r="O1390" s="52"/>
      <c r="P1390" s="52"/>
      <c r="AD1390"/>
      <c r="AE1390"/>
    </row>
    <row r="1391" spans="15:31" x14ac:dyDescent="0.25">
      <c r="O1391" s="52"/>
      <c r="P1391" s="52"/>
      <c r="AD1391"/>
      <c r="AE1391"/>
    </row>
    <row r="1392" spans="15:31" x14ac:dyDescent="0.25">
      <c r="O1392" s="52"/>
      <c r="P1392" s="52"/>
      <c r="AD1392"/>
      <c r="AE1392"/>
    </row>
    <row r="1393" spans="15:31" x14ac:dyDescent="0.25">
      <c r="O1393" s="52"/>
      <c r="P1393" s="52"/>
      <c r="AD1393"/>
      <c r="AE1393"/>
    </row>
    <row r="1394" spans="15:31" x14ac:dyDescent="0.25">
      <c r="O1394" s="52"/>
      <c r="P1394" s="52"/>
      <c r="AD1394"/>
      <c r="AE1394"/>
    </row>
    <row r="1395" spans="15:31" x14ac:dyDescent="0.25">
      <c r="O1395" s="52"/>
      <c r="P1395" s="52"/>
      <c r="AD1395"/>
      <c r="AE1395"/>
    </row>
    <row r="1396" spans="15:31" x14ac:dyDescent="0.25">
      <c r="O1396" s="52"/>
      <c r="P1396" s="52"/>
      <c r="AD1396"/>
      <c r="AE1396"/>
    </row>
    <row r="1397" spans="15:31" x14ac:dyDescent="0.25">
      <c r="O1397" s="52"/>
      <c r="P1397" s="52"/>
      <c r="AD1397"/>
      <c r="AE1397"/>
    </row>
    <row r="1398" spans="15:31" x14ac:dyDescent="0.25">
      <c r="O1398" s="52"/>
      <c r="P1398" s="52"/>
      <c r="AD1398"/>
      <c r="AE1398"/>
    </row>
    <row r="1399" spans="15:31" x14ac:dyDescent="0.25">
      <c r="O1399" s="52"/>
      <c r="P1399" s="52"/>
      <c r="AD1399"/>
      <c r="AE1399"/>
    </row>
    <row r="1400" spans="15:31" x14ac:dyDescent="0.25">
      <c r="O1400" s="52"/>
      <c r="P1400" s="52"/>
      <c r="AD1400"/>
      <c r="AE1400"/>
    </row>
    <row r="1401" spans="15:31" x14ac:dyDescent="0.25">
      <c r="O1401" s="52"/>
      <c r="P1401" s="52"/>
      <c r="AD1401"/>
      <c r="AE1401"/>
    </row>
    <row r="1402" spans="15:31" x14ac:dyDescent="0.25">
      <c r="O1402" s="52"/>
      <c r="P1402" s="52"/>
      <c r="AD1402"/>
      <c r="AE1402"/>
    </row>
    <row r="1403" spans="15:31" x14ac:dyDescent="0.25">
      <c r="O1403" s="52"/>
      <c r="P1403" s="52"/>
      <c r="AD1403"/>
      <c r="AE1403"/>
    </row>
    <row r="1404" spans="15:31" x14ac:dyDescent="0.25">
      <c r="O1404" s="52"/>
      <c r="P1404" s="52"/>
      <c r="AD1404"/>
      <c r="AE1404"/>
    </row>
    <row r="1405" spans="15:31" x14ac:dyDescent="0.25">
      <c r="O1405" s="52"/>
      <c r="P1405" s="52"/>
      <c r="AD1405"/>
      <c r="AE1405"/>
    </row>
    <row r="1406" spans="15:31" x14ac:dyDescent="0.25">
      <c r="O1406" s="52"/>
      <c r="P1406" s="52"/>
      <c r="AD1406"/>
      <c r="AE1406"/>
    </row>
    <row r="1407" spans="15:31" x14ac:dyDescent="0.25">
      <c r="O1407" s="52"/>
      <c r="P1407" s="52"/>
      <c r="AD1407"/>
      <c r="AE1407"/>
    </row>
    <row r="1408" spans="15:31" x14ac:dyDescent="0.25">
      <c r="O1408" s="52"/>
      <c r="P1408" s="52"/>
      <c r="AD1408"/>
      <c r="AE1408"/>
    </row>
    <row r="1409" spans="15:31" x14ac:dyDescent="0.25">
      <c r="O1409" s="52"/>
      <c r="P1409" s="52"/>
      <c r="AD1409"/>
      <c r="AE1409"/>
    </row>
    <row r="1410" spans="15:31" x14ac:dyDescent="0.25">
      <c r="O1410" s="52"/>
      <c r="P1410" s="52"/>
      <c r="AD1410"/>
      <c r="AE1410"/>
    </row>
    <row r="1411" spans="15:31" x14ac:dyDescent="0.25">
      <c r="O1411" s="52"/>
      <c r="P1411" s="52"/>
      <c r="AD1411"/>
      <c r="AE1411"/>
    </row>
    <row r="1412" spans="15:31" x14ac:dyDescent="0.25">
      <c r="O1412" s="52"/>
      <c r="P1412" s="52"/>
      <c r="AD1412"/>
      <c r="AE1412"/>
    </row>
    <row r="1413" spans="15:31" x14ac:dyDescent="0.25">
      <c r="O1413" s="52"/>
      <c r="P1413" s="52"/>
      <c r="AD1413"/>
      <c r="AE1413"/>
    </row>
    <row r="1414" spans="15:31" x14ac:dyDescent="0.25">
      <c r="O1414" s="52"/>
      <c r="P1414" s="52"/>
      <c r="AD1414"/>
      <c r="AE1414"/>
    </row>
    <row r="1415" spans="15:31" x14ac:dyDescent="0.25">
      <c r="O1415" s="52"/>
      <c r="P1415" s="52"/>
      <c r="AD1415"/>
      <c r="AE1415"/>
    </row>
    <row r="1416" spans="15:31" x14ac:dyDescent="0.25">
      <c r="O1416" s="52"/>
      <c r="P1416" s="52"/>
      <c r="AD1416"/>
      <c r="AE1416"/>
    </row>
    <row r="1417" spans="15:31" x14ac:dyDescent="0.25">
      <c r="O1417" s="52"/>
      <c r="P1417" s="52"/>
      <c r="AD1417"/>
      <c r="AE1417"/>
    </row>
    <row r="1418" spans="15:31" x14ac:dyDescent="0.25">
      <c r="O1418" s="52"/>
      <c r="P1418" s="52"/>
      <c r="AD1418"/>
      <c r="AE1418"/>
    </row>
    <row r="1419" spans="15:31" x14ac:dyDescent="0.25">
      <c r="O1419" s="52"/>
      <c r="P1419" s="52"/>
      <c r="AD1419"/>
      <c r="AE1419"/>
    </row>
    <row r="1420" spans="15:31" x14ac:dyDescent="0.25">
      <c r="O1420" s="52"/>
      <c r="P1420" s="52"/>
      <c r="AD1420"/>
      <c r="AE1420"/>
    </row>
    <row r="1421" spans="15:31" x14ac:dyDescent="0.25">
      <c r="O1421" s="52"/>
      <c r="P1421" s="52"/>
      <c r="AD1421"/>
      <c r="AE1421"/>
    </row>
    <row r="1422" spans="15:31" x14ac:dyDescent="0.25">
      <c r="O1422" s="52"/>
      <c r="P1422" s="52"/>
      <c r="AD1422"/>
      <c r="AE1422"/>
    </row>
    <row r="1423" spans="15:31" x14ac:dyDescent="0.25">
      <c r="O1423" s="52"/>
      <c r="P1423" s="52"/>
      <c r="AD1423"/>
      <c r="AE1423"/>
    </row>
    <row r="1424" spans="15:31" x14ac:dyDescent="0.25">
      <c r="O1424" s="52"/>
      <c r="P1424" s="52"/>
      <c r="AD1424"/>
      <c r="AE1424"/>
    </row>
    <row r="1425" spans="15:31" x14ac:dyDescent="0.25">
      <c r="O1425" s="52"/>
      <c r="P1425" s="52"/>
      <c r="AD1425"/>
      <c r="AE1425"/>
    </row>
    <row r="1426" spans="15:31" x14ac:dyDescent="0.25">
      <c r="O1426" s="52"/>
      <c r="P1426" s="52"/>
      <c r="AD1426"/>
      <c r="AE1426"/>
    </row>
    <row r="1427" spans="15:31" x14ac:dyDescent="0.25">
      <c r="O1427" s="52"/>
      <c r="P1427" s="52"/>
      <c r="AD1427"/>
      <c r="AE1427"/>
    </row>
    <row r="1428" spans="15:31" x14ac:dyDescent="0.25">
      <c r="O1428" s="52"/>
      <c r="P1428" s="52"/>
      <c r="AD1428"/>
      <c r="AE1428"/>
    </row>
    <row r="1429" spans="15:31" x14ac:dyDescent="0.25">
      <c r="O1429" s="52"/>
      <c r="P1429" s="52"/>
      <c r="AD1429"/>
      <c r="AE1429"/>
    </row>
    <row r="1430" spans="15:31" x14ac:dyDescent="0.25">
      <c r="O1430" s="52"/>
      <c r="P1430" s="52"/>
      <c r="AD1430"/>
      <c r="AE1430"/>
    </row>
    <row r="1431" spans="15:31" x14ac:dyDescent="0.25">
      <c r="O1431" s="52"/>
      <c r="P1431" s="52"/>
      <c r="AD1431"/>
      <c r="AE1431"/>
    </row>
    <row r="1432" spans="15:31" x14ac:dyDescent="0.25">
      <c r="O1432" s="52"/>
      <c r="P1432" s="52"/>
      <c r="AD1432"/>
      <c r="AE1432"/>
    </row>
    <row r="1433" spans="15:31" x14ac:dyDescent="0.25">
      <c r="O1433" s="52"/>
      <c r="P1433" s="52"/>
      <c r="AD1433"/>
      <c r="AE1433"/>
    </row>
    <row r="1434" spans="15:31" x14ac:dyDescent="0.25">
      <c r="O1434" s="52"/>
      <c r="P1434" s="52"/>
      <c r="AD1434"/>
      <c r="AE1434"/>
    </row>
    <row r="1435" spans="15:31" x14ac:dyDescent="0.25">
      <c r="O1435" s="52"/>
      <c r="P1435" s="52"/>
      <c r="AD1435"/>
      <c r="AE1435"/>
    </row>
    <row r="1436" spans="15:31" x14ac:dyDescent="0.25">
      <c r="O1436" s="52"/>
      <c r="P1436" s="52"/>
      <c r="AD1436"/>
      <c r="AE1436"/>
    </row>
    <row r="1437" spans="15:31" x14ac:dyDescent="0.25">
      <c r="O1437" s="52"/>
      <c r="P1437" s="52"/>
      <c r="AD1437"/>
      <c r="AE1437"/>
    </row>
    <row r="1438" spans="15:31" x14ac:dyDescent="0.25">
      <c r="O1438" s="52"/>
      <c r="P1438" s="52"/>
      <c r="AD1438"/>
      <c r="AE1438"/>
    </row>
    <row r="1439" spans="15:31" x14ac:dyDescent="0.25">
      <c r="O1439" s="52"/>
      <c r="P1439" s="52"/>
      <c r="AD1439"/>
      <c r="AE1439"/>
    </row>
    <row r="1440" spans="15:31" x14ac:dyDescent="0.25">
      <c r="O1440" s="52"/>
      <c r="P1440" s="52"/>
      <c r="AD1440"/>
      <c r="AE1440"/>
    </row>
    <row r="1441" spans="15:31" x14ac:dyDescent="0.25">
      <c r="O1441" s="52"/>
      <c r="P1441" s="52"/>
      <c r="AD1441"/>
      <c r="AE1441"/>
    </row>
    <row r="1442" spans="15:31" x14ac:dyDescent="0.25">
      <c r="O1442" s="52"/>
      <c r="P1442" s="52"/>
      <c r="AD1442"/>
      <c r="AE1442"/>
    </row>
    <row r="1443" spans="15:31" x14ac:dyDescent="0.25">
      <c r="O1443" s="52"/>
      <c r="P1443" s="52"/>
      <c r="AD1443"/>
      <c r="AE1443"/>
    </row>
    <row r="1444" spans="15:31" x14ac:dyDescent="0.25">
      <c r="O1444" s="52"/>
      <c r="P1444" s="52"/>
      <c r="AD1444"/>
      <c r="AE1444"/>
    </row>
    <row r="1445" spans="15:31" x14ac:dyDescent="0.25">
      <c r="O1445" s="52"/>
      <c r="P1445" s="52"/>
      <c r="AD1445"/>
      <c r="AE1445"/>
    </row>
    <row r="1446" spans="15:31" x14ac:dyDescent="0.25">
      <c r="O1446" s="52"/>
      <c r="P1446" s="52"/>
      <c r="AD1446"/>
      <c r="AE1446"/>
    </row>
    <row r="1447" spans="15:31" x14ac:dyDescent="0.25">
      <c r="O1447" s="52"/>
      <c r="P1447" s="52"/>
      <c r="AD1447"/>
      <c r="AE1447"/>
    </row>
    <row r="1448" spans="15:31" x14ac:dyDescent="0.25">
      <c r="O1448" s="52"/>
      <c r="P1448" s="52"/>
      <c r="AD1448"/>
      <c r="AE1448"/>
    </row>
    <row r="1449" spans="15:31" x14ac:dyDescent="0.25">
      <c r="O1449" s="52"/>
      <c r="P1449" s="52"/>
      <c r="AD1449"/>
      <c r="AE1449"/>
    </row>
    <row r="1450" spans="15:31" x14ac:dyDescent="0.25">
      <c r="O1450" s="52"/>
      <c r="P1450" s="52"/>
      <c r="AD1450"/>
      <c r="AE1450"/>
    </row>
    <row r="1451" spans="15:31" x14ac:dyDescent="0.25">
      <c r="O1451" s="52"/>
      <c r="P1451" s="52"/>
      <c r="AD1451"/>
      <c r="AE1451"/>
    </row>
    <row r="1452" spans="15:31" x14ac:dyDescent="0.25">
      <c r="O1452" s="52"/>
      <c r="P1452" s="52"/>
      <c r="AD1452"/>
      <c r="AE1452"/>
    </row>
    <row r="1453" spans="15:31" x14ac:dyDescent="0.25">
      <c r="O1453" s="52"/>
      <c r="P1453" s="52"/>
      <c r="AD1453"/>
      <c r="AE1453"/>
    </row>
    <row r="1454" spans="15:31" x14ac:dyDescent="0.25">
      <c r="O1454" s="52"/>
      <c r="P1454" s="52"/>
      <c r="AD1454"/>
      <c r="AE1454"/>
    </row>
    <row r="1455" spans="15:31" x14ac:dyDescent="0.25">
      <c r="O1455" s="52"/>
      <c r="P1455" s="52"/>
      <c r="AD1455"/>
      <c r="AE1455"/>
    </row>
    <row r="1456" spans="15:31" x14ac:dyDescent="0.25">
      <c r="O1456" s="52"/>
      <c r="P1456" s="52"/>
      <c r="AD1456"/>
      <c r="AE1456"/>
    </row>
    <row r="1457" spans="15:31" x14ac:dyDescent="0.25">
      <c r="O1457" s="52"/>
      <c r="P1457" s="52"/>
      <c r="AD1457"/>
      <c r="AE1457"/>
    </row>
    <row r="1458" spans="15:31" x14ac:dyDescent="0.25">
      <c r="O1458" s="52"/>
      <c r="P1458" s="52"/>
      <c r="AD1458"/>
      <c r="AE1458"/>
    </row>
    <row r="1459" spans="15:31" x14ac:dyDescent="0.25">
      <c r="O1459" s="52"/>
      <c r="P1459" s="52"/>
      <c r="AD1459"/>
      <c r="AE1459"/>
    </row>
    <row r="1460" spans="15:31" x14ac:dyDescent="0.25">
      <c r="O1460" s="52"/>
      <c r="P1460" s="52"/>
      <c r="AD1460"/>
      <c r="AE1460"/>
    </row>
    <row r="1461" spans="15:31" x14ac:dyDescent="0.25">
      <c r="O1461" s="52"/>
      <c r="P1461" s="52"/>
      <c r="AD1461"/>
      <c r="AE1461"/>
    </row>
    <row r="1462" spans="15:31" x14ac:dyDescent="0.25">
      <c r="O1462" s="52"/>
      <c r="P1462" s="52"/>
      <c r="AD1462"/>
      <c r="AE1462"/>
    </row>
    <row r="1463" spans="15:31" x14ac:dyDescent="0.25">
      <c r="O1463" s="52"/>
      <c r="P1463" s="52"/>
      <c r="AD1463"/>
      <c r="AE1463"/>
    </row>
    <row r="1464" spans="15:31" x14ac:dyDescent="0.25">
      <c r="O1464" s="52"/>
      <c r="P1464" s="52"/>
      <c r="AD1464"/>
      <c r="AE1464"/>
    </row>
    <row r="1465" spans="15:31" x14ac:dyDescent="0.25">
      <c r="O1465" s="52"/>
      <c r="P1465" s="52"/>
      <c r="AD1465"/>
      <c r="AE1465"/>
    </row>
    <row r="1466" spans="15:31" x14ac:dyDescent="0.25">
      <c r="O1466" s="52"/>
      <c r="P1466" s="52"/>
      <c r="AD1466"/>
      <c r="AE1466"/>
    </row>
    <row r="1467" spans="15:31" x14ac:dyDescent="0.25">
      <c r="O1467" s="52"/>
      <c r="P1467" s="52"/>
      <c r="AD1467"/>
      <c r="AE1467"/>
    </row>
    <row r="1468" spans="15:31" x14ac:dyDescent="0.25">
      <c r="O1468" s="52"/>
      <c r="P1468" s="52"/>
      <c r="AD1468"/>
      <c r="AE1468"/>
    </row>
    <row r="1469" spans="15:31" x14ac:dyDescent="0.25">
      <c r="O1469" s="52"/>
      <c r="P1469" s="52"/>
      <c r="AD1469"/>
      <c r="AE1469"/>
    </row>
    <row r="1470" spans="15:31" x14ac:dyDescent="0.25">
      <c r="O1470" s="52"/>
      <c r="P1470" s="52"/>
      <c r="AD1470"/>
      <c r="AE1470"/>
    </row>
    <row r="1471" spans="15:31" x14ac:dyDescent="0.25">
      <c r="O1471" s="52"/>
      <c r="P1471" s="52"/>
      <c r="AD1471"/>
      <c r="AE1471"/>
    </row>
    <row r="1472" spans="15:31" x14ac:dyDescent="0.25">
      <c r="O1472" s="52"/>
      <c r="P1472" s="52"/>
      <c r="AD1472"/>
      <c r="AE1472"/>
    </row>
    <row r="1473" spans="15:31" x14ac:dyDescent="0.25">
      <c r="O1473" s="52"/>
      <c r="P1473" s="52"/>
      <c r="AD1473"/>
      <c r="AE1473"/>
    </row>
    <row r="1474" spans="15:31" x14ac:dyDescent="0.25">
      <c r="O1474" s="52"/>
      <c r="P1474" s="52"/>
      <c r="AD1474"/>
      <c r="AE1474"/>
    </row>
    <row r="1475" spans="15:31" x14ac:dyDescent="0.25">
      <c r="O1475" s="52"/>
      <c r="P1475" s="52"/>
      <c r="AD1475"/>
      <c r="AE1475"/>
    </row>
    <row r="1476" spans="15:31" x14ac:dyDescent="0.25">
      <c r="O1476" s="52"/>
      <c r="P1476" s="52"/>
      <c r="AD1476"/>
      <c r="AE1476"/>
    </row>
    <row r="1477" spans="15:31" x14ac:dyDescent="0.25">
      <c r="O1477" s="52"/>
      <c r="P1477" s="52"/>
      <c r="AD1477"/>
      <c r="AE1477"/>
    </row>
    <row r="1478" spans="15:31" x14ac:dyDescent="0.25">
      <c r="O1478" s="52"/>
      <c r="P1478" s="52"/>
      <c r="AD1478"/>
      <c r="AE1478"/>
    </row>
    <row r="1479" spans="15:31" x14ac:dyDescent="0.25">
      <c r="O1479" s="52"/>
      <c r="P1479" s="52"/>
      <c r="AD1479"/>
      <c r="AE1479"/>
    </row>
    <row r="1480" spans="15:31" x14ac:dyDescent="0.25">
      <c r="O1480" s="52"/>
      <c r="P1480" s="52"/>
      <c r="AD1480"/>
      <c r="AE1480"/>
    </row>
    <row r="1481" spans="15:31" x14ac:dyDescent="0.25">
      <c r="O1481" s="52"/>
      <c r="P1481" s="52"/>
      <c r="AD1481"/>
      <c r="AE1481"/>
    </row>
    <row r="1482" spans="15:31" x14ac:dyDescent="0.25">
      <c r="O1482" s="52"/>
      <c r="P1482" s="52"/>
      <c r="AD1482"/>
      <c r="AE1482"/>
    </row>
    <row r="1483" spans="15:31" x14ac:dyDescent="0.25">
      <c r="O1483" s="52"/>
      <c r="P1483" s="52"/>
      <c r="AD1483"/>
      <c r="AE1483"/>
    </row>
    <row r="1484" spans="15:31" x14ac:dyDescent="0.25">
      <c r="O1484" s="52"/>
      <c r="P1484" s="52"/>
      <c r="AD1484"/>
      <c r="AE1484"/>
    </row>
    <row r="1485" spans="15:31" x14ac:dyDescent="0.25">
      <c r="O1485" s="52"/>
      <c r="P1485" s="52"/>
      <c r="AD1485"/>
      <c r="AE1485"/>
    </row>
    <row r="1486" spans="15:31" x14ac:dyDescent="0.25">
      <c r="O1486" s="52"/>
      <c r="P1486" s="52"/>
      <c r="AD1486"/>
      <c r="AE1486"/>
    </row>
    <row r="1487" spans="15:31" x14ac:dyDescent="0.25">
      <c r="O1487" s="52"/>
      <c r="P1487" s="52"/>
      <c r="AD1487"/>
      <c r="AE1487"/>
    </row>
    <row r="1488" spans="15:31" x14ac:dyDescent="0.25">
      <c r="O1488" s="52"/>
      <c r="P1488" s="52"/>
      <c r="AD1488"/>
      <c r="AE1488"/>
    </row>
    <row r="1489" spans="15:31" x14ac:dyDescent="0.25">
      <c r="O1489" s="52"/>
      <c r="P1489" s="52"/>
      <c r="AD1489"/>
      <c r="AE1489"/>
    </row>
    <row r="1490" spans="15:31" x14ac:dyDescent="0.25">
      <c r="O1490" s="52"/>
      <c r="P1490" s="52"/>
      <c r="AD1490"/>
      <c r="AE1490"/>
    </row>
    <row r="1491" spans="15:31" x14ac:dyDescent="0.25">
      <c r="O1491" s="52"/>
      <c r="P1491" s="52"/>
      <c r="AD1491"/>
      <c r="AE1491"/>
    </row>
    <row r="1492" spans="15:31" x14ac:dyDescent="0.25">
      <c r="O1492" s="52"/>
      <c r="P1492" s="52"/>
      <c r="AD1492"/>
      <c r="AE1492"/>
    </row>
    <row r="1493" spans="15:31" x14ac:dyDescent="0.25">
      <c r="O1493" s="52"/>
      <c r="P1493" s="52"/>
      <c r="AD1493"/>
      <c r="AE1493"/>
    </row>
    <row r="1494" spans="15:31" x14ac:dyDescent="0.25">
      <c r="O1494" s="52"/>
      <c r="P1494" s="52"/>
      <c r="AD1494"/>
      <c r="AE1494"/>
    </row>
    <row r="1495" spans="15:31" x14ac:dyDescent="0.25">
      <c r="O1495" s="52"/>
      <c r="P1495" s="52"/>
      <c r="AD1495"/>
      <c r="AE1495"/>
    </row>
    <row r="1496" spans="15:31" x14ac:dyDescent="0.25">
      <c r="O1496" s="52"/>
      <c r="P1496" s="52"/>
      <c r="AD1496"/>
      <c r="AE1496"/>
    </row>
    <row r="1497" spans="15:31" x14ac:dyDescent="0.25">
      <c r="O1497" s="52"/>
      <c r="P1497" s="52"/>
      <c r="AD1497"/>
      <c r="AE1497"/>
    </row>
    <row r="1498" spans="15:31" x14ac:dyDescent="0.25">
      <c r="O1498" s="52"/>
      <c r="P1498" s="52"/>
      <c r="AD1498"/>
      <c r="AE1498"/>
    </row>
    <row r="1499" spans="15:31" x14ac:dyDescent="0.25">
      <c r="O1499" s="52"/>
      <c r="P1499" s="52"/>
      <c r="AD1499"/>
      <c r="AE1499"/>
    </row>
    <row r="1500" spans="15:31" x14ac:dyDescent="0.25">
      <c r="O1500" s="52"/>
      <c r="P1500" s="52"/>
      <c r="AD1500"/>
      <c r="AE1500"/>
    </row>
    <row r="1501" spans="15:31" x14ac:dyDescent="0.25">
      <c r="O1501" s="52"/>
      <c r="P1501" s="52"/>
      <c r="AD1501"/>
      <c r="AE1501"/>
    </row>
    <row r="1502" spans="15:31" x14ac:dyDescent="0.25">
      <c r="O1502" s="52"/>
      <c r="P1502" s="52"/>
      <c r="AD1502"/>
      <c r="AE1502"/>
    </row>
    <row r="1503" spans="15:31" x14ac:dyDescent="0.25">
      <c r="O1503" s="52"/>
      <c r="P1503" s="52"/>
      <c r="AD1503"/>
      <c r="AE1503"/>
    </row>
    <row r="1504" spans="15:31" x14ac:dyDescent="0.25">
      <c r="O1504" s="52"/>
      <c r="P1504" s="52"/>
      <c r="AD1504"/>
      <c r="AE1504"/>
    </row>
    <row r="1505" spans="15:31" x14ac:dyDescent="0.25">
      <c r="O1505" s="52"/>
      <c r="P1505" s="52"/>
      <c r="AD1505"/>
      <c r="AE1505"/>
    </row>
    <row r="1506" spans="15:31" x14ac:dyDescent="0.25">
      <c r="O1506" s="52"/>
      <c r="P1506" s="52"/>
      <c r="AD1506"/>
      <c r="AE1506"/>
    </row>
    <row r="1507" spans="15:31" x14ac:dyDescent="0.25">
      <c r="O1507" s="52"/>
      <c r="P1507" s="52"/>
      <c r="AD1507"/>
      <c r="AE1507"/>
    </row>
    <row r="1508" spans="15:31" x14ac:dyDescent="0.25">
      <c r="O1508" s="52"/>
      <c r="P1508" s="52"/>
      <c r="AD1508"/>
      <c r="AE1508"/>
    </row>
    <row r="1509" spans="15:31" x14ac:dyDescent="0.25">
      <c r="O1509" s="52"/>
      <c r="P1509" s="52"/>
      <c r="AD1509"/>
      <c r="AE1509"/>
    </row>
    <row r="1510" spans="15:31" x14ac:dyDescent="0.25">
      <c r="O1510" s="52"/>
      <c r="P1510" s="52"/>
      <c r="AD1510"/>
      <c r="AE1510"/>
    </row>
    <row r="1511" spans="15:31" x14ac:dyDescent="0.25">
      <c r="O1511" s="52"/>
      <c r="P1511" s="52"/>
      <c r="AD1511"/>
      <c r="AE1511"/>
    </row>
    <row r="1512" spans="15:31" x14ac:dyDescent="0.25">
      <c r="O1512" s="52"/>
      <c r="P1512" s="52"/>
      <c r="AD1512"/>
      <c r="AE1512"/>
    </row>
    <row r="1513" spans="15:31" x14ac:dyDescent="0.25">
      <c r="O1513" s="52"/>
      <c r="P1513" s="52"/>
      <c r="AD1513"/>
      <c r="AE1513"/>
    </row>
    <row r="1514" spans="15:31" x14ac:dyDescent="0.25">
      <c r="O1514" s="52"/>
      <c r="P1514" s="52"/>
      <c r="AD1514"/>
      <c r="AE1514"/>
    </row>
    <row r="1515" spans="15:31" x14ac:dyDescent="0.25">
      <c r="O1515" s="52"/>
      <c r="P1515" s="52"/>
      <c r="AD1515"/>
      <c r="AE1515"/>
    </row>
    <row r="1516" spans="15:31" x14ac:dyDescent="0.25">
      <c r="O1516" s="52"/>
      <c r="P1516" s="52"/>
      <c r="AD1516"/>
      <c r="AE1516"/>
    </row>
    <row r="1517" spans="15:31" x14ac:dyDescent="0.25">
      <c r="O1517" s="52"/>
      <c r="P1517" s="52"/>
      <c r="AD1517"/>
      <c r="AE1517"/>
    </row>
    <row r="1518" spans="15:31" x14ac:dyDescent="0.25">
      <c r="O1518" s="52"/>
      <c r="P1518" s="52"/>
      <c r="AD1518"/>
      <c r="AE1518"/>
    </row>
    <row r="1519" spans="15:31" x14ac:dyDescent="0.25">
      <c r="O1519" s="52"/>
      <c r="P1519" s="52"/>
      <c r="AD1519"/>
      <c r="AE1519"/>
    </row>
    <row r="1520" spans="15:31" x14ac:dyDescent="0.25">
      <c r="O1520" s="52"/>
      <c r="P1520" s="52"/>
      <c r="AD1520"/>
      <c r="AE1520"/>
    </row>
    <row r="1521" spans="15:31" x14ac:dyDescent="0.25">
      <c r="O1521" s="52"/>
      <c r="P1521" s="52"/>
      <c r="AD1521"/>
      <c r="AE1521"/>
    </row>
    <row r="1522" spans="15:31" x14ac:dyDescent="0.25">
      <c r="O1522" s="52"/>
      <c r="P1522" s="52"/>
      <c r="AD1522"/>
      <c r="AE1522"/>
    </row>
    <row r="1523" spans="15:31" x14ac:dyDescent="0.25">
      <c r="O1523" s="52"/>
      <c r="P1523" s="52"/>
      <c r="AD1523"/>
      <c r="AE1523"/>
    </row>
    <row r="1524" spans="15:31" x14ac:dyDescent="0.25">
      <c r="O1524" s="52"/>
      <c r="P1524" s="52"/>
      <c r="AD1524"/>
      <c r="AE1524"/>
    </row>
    <row r="1525" spans="15:31" x14ac:dyDescent="0.25">
      <c r="O1525" s="52"/>
      <c r="P1525" s="52"/>
      <c r="AD1525"/>
      <c r="AE1525"/>
    </row>
    <row r="1526" spans="15:31" x14ac:dyDescent="0.25">
      <c r="O1526" s="52"/>
      <c r="P1526" s="52"/>
      <c r="AD1526"/>
      <c r="AE1526"/>
    </row>
    <row r="1527" spans="15:31" x14ac:dyDescent="0.25">
      <c r="O1527" s="52"/>
      <c r="P1527" s="52"/>
      <c r="AD1527"/>
      <c r="AE1527"/>
    </row>
    <row r="1528" spans="15:31" x14ac:dyDescent="0.25">
      <c r="O1528" s="52"/>
      <c r="P1528" s="52"/>
      <c r="AD1528"/>
      <c r="AE1528"/>
    </row>
    <row r="1529" spans="15:31" x14ac:dyDescent="0.25">
      <c r="O1529" s="52"/>
      <c r="P1529" s="52"/>
      <c r="AD1529"/>
      <c r="AE1529"/>
    </row>
    <row r="1530" spans="15:31" x14ac:dyDescent="0.25">
      <c r="O1530" s="52"/>
      <c r="P1530" s="52"/>
      <c r="AD1530"/>
      <c r="AE1530"/>
    </row>
    <row r="1531" spans="15:31" x14ac:dyDescent="0.25">
      <c r="O1531" s="52"/>
      <c r="P1531" s="52"/>
      <c r="AD1531"/>
      <c r="AE1531"/>
    </row>
    <row r="1532" spans="15:31" x14ac:dyDescent="0.25">
      <c r="O1532" s="52"/>
      <c r="P1532" s="52"/>
      <c r="AD1532"/>
      <c r="AE1532"/>
    </row>
    <row r="1533" spans="15:31" x14ac:dyDescent="0.25">
      <c r="O1533" s="52"/>
      <c r="P1533" s="52"/>
      <c r="AD1533"/>
      <c r="AE1533"/>
    </row>
    <row r="1534" spans="15:31" x14ac:dyDescent="0.25">
      <c r="O1534" s="52"/>
      <c r="P1534" s="52"/>
      <c r="AD1534"/>
      <c r="AE1534"/>
    </row>
    <row r="1535" spans="15:31" x14ac:dyDescent="0.25">
      <c r="O1535" s="52"/>
      <c r="P1535" s="52"/>
      <c r="AD1535"/>
      <c r="AE1535"/>
    </row>
    <row r="1536" spans="15:31" x14ac:dyDescent="0.25">
      <c r="O1536" s="52"/>
      <c r="P1536" s="52"/>
      <c r="AD1536"/>
      <c r="AE1536"/>
    </row>
    <row r="1537" spans="15:31" x14ac:dyDescent="0.25">
      <c r="O1537" s="52"/>
      <c r="P1537" s="52"/>
      <c r="AD1537"/>
      <c r="AE1537"/>
    </row>
    <row r="1538" spans="15:31" x14ac:dyDescent="0.25">
      <c r="O1538" s="52"/>
      <c r="P1538" s="52"/>
      <c r="AD1538"/>
      <c r="AE1538"/>
    </row>
    <row r="1539" spans="15:31" x14ac:dyDescent="0.25">
      <c r="O1539" s="52"/>
      <c r="P1539" s="52"/>
      <c r="AD1539"/>
      <c r="AE1539"/>
    </row>
    <row r="1540" spans="15:31" x14ac:dyDescent="0.25">
      <c r="O1540" s="52"/>
      <c r="P1540" s="52"/>
      <c r="AD1540"/>
      <c r="AE1540"/>
    </row>
    <row r="1541" spans="15:31" x14ac:dyDescent="0.25">
      <c r="O1541" s="52"/>
      <c r="P1541" s="52"/>
      <c r="AD1541"/>
      <c r="AE1541"/>
    </row>
    <row r="1542" spans="15:31" x14ac:dyDescent="0.25">
      <c r="O1542" s="52"/>
      <c r="P1542" s="52"/>
      <c r="AD1542"/>
      <c r="AE1542"/>
    </row>
    <row r="1543" spans="15:31" x14ac:dyDescent="0.25">
      <c r="O1543" s="52"/>
      <c r="P1543" s="52"/>
      <c r="AD1543"/>
      <c r="AE1543"/>
    </row>
    <row r="1544" spans="15:31" x14ac:dyDescent="0.25">
      <c r="O1544" s="52"/>
      <c r="P1544" s="52"/>
      <c r="AD1544"/>
      <c r="AE1544"/>
    </row>
    <row r="1545" spans="15:31" x14ac:dyDescent="0.25">
      <c r="O1545" s="52"/>
      <c r="P1545" s="52"/>
      <c r="AD1545"/>
      <c r="AE1545"/>
    </row>
    <row r="1546" spans="15:31" x14ac:dyDescent="0.25">
      <c r="O1546" s="52"/>
      <c r="P1546" s="52"/>
      <c r="AD1546"/>
      <c r="AE1546"/>
    </row>
    <row r="1547" spans="15:31" x14ac:dyDescent="0.25">
      <c r="O1547" s="52"/>
      <c r="P1547" s="52"/>
      <c r="AD1547"/>
      <c r="AE1547"/>
    </row>
    <row r="1548" spans="15:31" x14ac:dyDescent="0.25">
      <c r="O1548" s="52"/>
      <c r="P1548" s="52"/>
      <c r="AD1548"/>
      <c r="AE1548"/>
    </row>
    <row r="1549" spans="15:31" x14ac:dyDescent="0.25">
      <c r="O1549" s="52"/>
      <c r="P1549" s="52"/>
      <c r="AD1549"/>
      <c r="AE1549"/>
    </row>
    <row r="1550" spans="15:31" x14ac:dyDescent="0.25">
      <c r="O1550" s="52"/>
      <c r="P1550" s="52"/>
      <c r="AD1550"/>
      <c r="AE1550"/>
    </row>
    <row r="1551" spans="15:31" x14ac:dyDescent="0.25">
      <c r="O1551" s="52"/>
      <c r="P1551" s="52"/>
      <c r="AD1551"/>
      <c r="AE1551"/>
    </row>
    <row r="1552" spans="15:31" x14ac:dyDescent="0.25">
      <c r="O1552" s="52"/>
      <c r="P1552" s="52"/>
      <c r="AD1552"/>
      <c r="AE1552"/>
    </row>
    <row r="1553" spans="15:31" x14ac:dyDescent="0.25">
      <c r="O1553" s="52"/>
      <c r="P1553" s="52"/>
      <c r="AD1553"/>
      <c r="AE1553"/>
    </row>
    <row r="1554" spans="15:31" x14ac:dyDescent="0.25">
      <c r="O1554" s="52"/>
      <c r="P1554" s="52"/>
      <c r="AD1554"/>
      <c r="AE1554"/>
    </row>
    <row r="1555" spans="15:31" x14ac:dyDescent="0.25">
      <c r="O1555" s="52"/>
      <c r="P1555" s="52"/>
      <c r="AD1555"/>
      <c r="AE1555"/>
    </row>
    <row r="1556" spans="15:31" x14ac:dyDescent="0.25">
      <c r="O1556" s="52"/>
      <c r="P1556" s="52"/>
      <c r="AD1556"/>
      <c r="AE1556"/>
    </row>
    <row r="1557" spans="15:31" x14ac:dyDescent="0.25">
      <c r="O1557" s="52"/>
      <c r="P1557" s="52"/>
      <c r="AD1557"/>
      <c r="AE1557"/>
    </row>
    <row r="1558" spans="15:31" x14ac:dyDescent="0.25">
      <c r="O1558" s="52"/>
      <c r="P1558" s="52"/>
      <c r="AD1558"/>
      <c r="AE1558"/>
    </row>
    <row r="1559" spans="15:31" x14ac:dyDescent="0.25">
      <c r="O1559" s="52"/>
      <c r="P1559" s="52"/>
      <c r="AD1559"/>
      <c r="AE1559"/>
    </row>
    <row r="1560" spans="15:31" x14ac:dyDescent="0.25">
      <c r="O1560" s="52"/>
      <c r="P1560" s="52"/>
      <c r="AD1560"/>
      <c r="AE1560"/>
    </row>
    <row r="1561" spans="15:31" x14ac:dyDescent="0.25">
      <c r="O1561" s="52"/>
      <c r="P1561" s="52"/>
      <c r="AD1561"/>
      <c r="AE1561"/>
    </row>
    <row r="1562" spans="15:31" x14ac:dyDescent="0.25">
      <c r="O1562" s="52"/>
      <c r="P1562" s="52"/>
      <c r="AD1562"/>
      <c r="AE1562"/>
    </row>
    <row r="1563" spans="15:31" x14ac:dyDescent="0.25">
      <c r="O1563" s="52"/>
      <c r="P1563" s="52"/>
      <c r="AD1563"/>
      <c r="AE1563"/>
    </row>
    <row r="1564" spans="15:31" x14ac:dyDescent="0.25">
      <c r="O1564" s="52"/>
      <c r="P1564" s="52"/>
      <c r="AD1564"/>
      <c r="AE1564"/>
    </row>
    <row r="1565" spans="15:31" x14ac:dyDescent="0.25">
      <c r="O1565" s="52"/>
      <c r="P1565" s="52"/>
      <c r="AD1565"/>
      <c r="AE1565"/>
    </row>
    <row r="1566" spans="15:31" x14ac:dyDescent="0.25">
      <c r="O1566" s="52"/>
      <c r="P1566" s="52"/>
      <c r="AD1566"/>
      <c r="AE1566"/>
    </row>
    <row r="1567" spans="15:31" x14ac:dyDescent="0.25">
      <c r="O1567" s="52"/>
      <c r="P1567" s="52"/>
      <c r="AD1567"/>
      <c r="AE1567"/>
    </row>
    <row r="1568" spans="15:31" x14ac:dyDescent="0.25">
      <c r="O1568" s="52"/>
      <c r="P1568" s="52"/>
      <c r="AD1568"/>
      <c r="AE1568"/>
    </row>
    <row r="1569" spans="15:31" x14ac:dyDescent="0.25">
      <c r="O1569" s="52"/>
      <c r="P1569" s="52"/>
      <c r="AD1569"/>
      <c r="AE1569"/>
    </row>
    <row r="1570" spans="15:31" x14ac:dyDescent="0.25">
      <c r="O1570" s="52"/>
      <c r="P1570" s="52"/>
      <c r="AD1570"/>
      <c r="AE1570"/>
    </row>
    <row r="1571" spans="15:31" x14ac:dyDescent="0.25">
      <c r="O1571" s="52"/>
      <c r="P1571" s="52"/>
      <c r="AD1571"/>
      <c r="AE1571"/>
    </row>
    <row r="1572" spans="15:31" x14ac:dyDescent="0.25">
      <c r="O1572" s="52"/>
      <c r="P1572" s="52"/>
      <c r="AD1572"/>
      <c r="AE1572"/>
    </row>
    <row r="1573" spans="15:31" x14ac:dyDescent="0.25">
      <c r="O1573" s="52"/>
      <c r="P1573" s="52"/>
      <c r="AD1573"/>
      <c r="AE1573"/>
    </row>
    <row r="1574" spans="15:31" x14ac:dyDescent="0.25">
      <c r="O1574" s="52"/>
      <c r="P1574" s="52"/>
      <c r="AD1574"/>
      <c r="AE1574"/>
    </row>
    <row r="1575" spans="15:31" x14ac:dyDescent="0.25">
      <c r="O1575" s="52"/>
      <c r="P1575" s="52"/>
      <c r="AD1575"/>
      <c r="AE1575"/>
    </row>
    <row r="1576" spans="15:31" x14ac:dyDescent="0.25">
      <c r="O1576" s="52"/>
      <c r="P1576" s="52"/>
      <c r="AD1576"/>
      <c r="AE1576"/>
    </row>
    <row r="1577" spans="15:31" x14ac:dyDescent="0.25">
      <c r="O1577" s="52"/>
      <c r="P1577" s="52"/>
      <c r="AD1577"/>
      <c r="AE1577"/>
    </row>
    <row r="1578" spans="15:31" x14ac:dyDescent="0.25">
      <c r="O1578" s="52"/>
      <c r="P1578" s="52"/>
      <c r="AD1578"/>
      <c r="AE1578"/>
    </row>
    <row r="1579" spans="15:31" x14ac:dyDescent="0.25">
      <c r="O1579" s="52"/>
      <c r="P1579" s="52"/>
      <c r="AD1579"/>
      <c r="AE1579"/>
    </row>
    <row r="1580" spans="15:31" x14ac:dyDescent="0.25">
      <c r="O1580" s="52"/>
      <c r="P1580" s="52"/>
      <c r="AD1580"/>
      <c r="AE1580"/>
    </row>
    <row r="1581" spans="15:31" x14ac:dyDescent="0.25">
      <c r="O1581" s="52"/>
      <c r="P1581" s="52"/>
      <c r="AD1581"/>
      <c r="AE1581"/>
    </row>
    <row r="1582" spans="15:31" x14ac:dyDescent="0.25">
      <c r="O1582" s="52"/>
      <c r="P1582" s="52"/>
      <c r="AD1582"/>
      <c r="AE1582"/>
    </row>
    <row r="1583" spans="15:31" x14ac:dyDescent="0.25">
      <c r="O1583" s="52"/>
      <c r="P1583" s="52"/>
      <c r="AD1583"/>
      <c r="AE1583"/>
    </row>
    <row r="1584" spans="15:31" x14ac:dyDescent="0.25">
      <c r="O1584" s="52"/>
      <c r="P1584" s="52"/>
      <c r="AD1584"/>
      <c r="AE1584"/>
    </row>
    <row r="1585" spans="15:31" x14ac:dyDescent="0.25">
      <c r="O1585" s="52"/>
      <c r="P1585" s="52"/>
      <c r="AD1585"/>
      <c r="AE1585"/>
    </row>
    <row r="1586" spans="15:31" x14ac:dyDescent="0.25">
      <c r="O1586" s="52"/>
      <c r="P1586" s="52"/>
      <c r="AD1586"/>
      <c r="AE1586"/>
    </row>
    <row r="1587" spans="15:31" x14ac:dyDescent="0.25">
      <c r="O1587" s="52"/>
      <c r="P1587" s="52"/>
      <c r="AD1587"/>
      <c r="AE1587"/>
    </row>
    <row r="1588" spans="15:31" x14ac:dyDescent="0.25">
      <c r="O1588" s="52"/>
      <c r="P1588" s="52"/>
      <c r="AD1588"/>
      <c r="AE1588"/>
    </row>
    <row r="1589" spans="15:31" x14ac:dyDescent="0.25">
      <c r="O1589" s="52"/>
      <c r="P1589" s="52"/>
      <c r="AD1589"/>
      <c r="AE1589"/>
    </row>
    <row r="1590" spans="15:31" x14ac:dyDescent="0.25">
      <c r="O1590" s="52"/>
      <c r="P1590" s="52"/>
      <c r="AD1590"/>
      <c r="AE1590"/>
    </row>
    <row r="1591" spans="15:31" x14ac:dyDescent="0.25">
      <c r="O1591" s="52"/>
      <c r="P1591" s="52"/>
      <c r="AD1591"/>
      <c r="AE1591"/>
    </row>
    <row r="1592" spans="15:31" x14ac:dyDescent="0.25">
      <c r="O1592" s="52"/>
      <c r="P1592" s="52"/>
      <c r="AD1592"/>
      <c r="AE1592"/>
    </row>
    <row r="1593" spans="15:31" x14ac:dyDescent="0.25">
      <c r="O1593" s="52"/>
      <c r="P1593" s="52"/>
      <c r="AD1593"/>
      <c r="AE1593"/>
    </row>
    <row r="1594" spans="15:31" x14ac:dyDescent="0.25">
      <c r="O1594" s="52"/>
      <c r="P1594" s="52"/>
      <c r="AD1594"/>
      <c r="AE1594"/>
    </row>
    <row r="1595" spans="15:31" x14ac:dyDescent="0.25">
      <c r="O1595" s="52"/>
      <c r="P1595" s="52"/>
      <c r="AD1595"/>
      <c r="AE1595"/>
    </row>
    <row r="1596" spans="15:31" x14ac:dyDescent="0.25">
      <c r="O1596" s="52"/>
      <c r="P1596" s="52"/>
      <c r="AD1596"/>
      <c r="AE1596"/>
    </row>
    <row r="1597" spans="15:31" x14ac:dyDescent="0.25">
      <c r="O1597" s="52"/>
      <c r="P1597" s="52"/>
      <c r="AD1597"/>
      <c r="AE1597"/>
    </row>
    <row r="1598" spans="15:31" x14ac:dyDescent="0.25">
      <c r="O1598" s="52"/>
      <c r="P1598" s="52"/>
      <c r="AD1598"/>
      <c r="AE1598"/>
    </row>
    <row r="1599" spans="15:31" x14ac:dyDescent="0.25">
      <c r="O1599" s="52"/>
      <c r="P1599" s="52"/>
      <c r="AD1599"/>
      <c r="AE1599"/>
    </row>
    <row r="1600" spans="15:31" x14ac:dyDescent="0.25">
      <c r="O1600" s="52"/>
      <c r="P1600" s="52"/>
      <c r="AD1600"/>
      <c r="AE1600"/>
    </row>
    <row r="1601" spans="15:31" x14ac:dyDescent="0.25">
      <c r="O1601" s="52"/>
      <c r="P1601" s="52"/>
      <c r="AD1601"/>
      <c r="AE1601"/>
    </row>
    <row r="1602" spans="15:31" x14ac:dyDescent="0.25">
      <c r="O1602" s="52"/>
      <c r="P1602" s="52"/>
      <c r="AD1602"/>
      <c r="AE1602"/>
    </row>
    <row r="1603" spans="15:31" x14ac:dyDescent="0.25">
      <c r="O1603" s="52"/>
      <c r="P1603" s="52"/>
      <c r="AD1603"/>
      <c r="AE1603"/>
    </row>
    <row r="1604" spans="15:31" x14ac:dyDescent="0.25">
      <c r="O1604" s="52"/>
      <c r="P1604" s="52"/>
      <c r="AD1604"/>
      <c r="AE1604"/>
    </row>
    <row r="1605" spans="15:31" x14ac:dyDescent="0.25">
      <c r="O1605" s="52"/>
      <c r="P1605" s="52"/>
      <c r="AD1605"/>
      <c r="AE1605"/>
    </row>
    <row r="1606" spans="15:31" x14ac:dyDescent="0.25">
      <c r="O1606" s="52"/>
      <c r="P1606" s="52"/>
      <c r="AD1606"/>
      <c r="AE1606"/>
    </row>
    <row r="1607" spans="15:31" x14ac:dyDescent="0.25">
      <c r="O1607" s="52"/>
      <c r="P1607" s="52"/>
      <c r="AD1607"/>
      <c r="AE1607"/>
    </row>
    <row r="1608" spans="15:31" x14ac:dyDescent="0.25">
      <c r="O1608" s="52"/>
      <c r="P1608" s="52"/>
      <c r="AD1608"/>
      <c r="AE1608"/>
    </row>
    <row r="1609" spans="15:31" x14ac:dyDescent="0.25">
      <c r="O1609" s="52"/>
      <c r="P1609" s="52"/>
      <c r="AD1609"/>
      <c r="AE1609"/>
    </row>
    <row r="1610" spans="15:31" x14ac:dyDescent="0.25">
      <c r="O1610" s="52"/>
      <c r="P1610" s="52"/>
      <c r="AD1610"/>
      <c r="AE1610"/>
    </row>
    <row r="1611" spans="15:31" x14ac:dyDescent="0.25">
      <c r="O1611" s="52"/>
      <c r="P1611" s="52"/>
      <c r="AD1611"/>
      <c r="AE1611"/>
    </row>
    <row r="1612" spans="15:31" x14ac:dyDescent="0.25">
      <c r="O1612" s="52"/>
      <c r="P1612" s="52"/>
      <c r="AD1612"/>
      <c r="AE1612"/>
    </row>
    <row r="1613" spans="15:31" x14ac:dyDescent="0.25">
      <c r="O1613" s="52"/>
      <c r="P1613" s="52"/>
      <c r="AD1613"/>
      <c r="AE1613"/>
    </row>
    <row r="1614" spans="15:31" x14ac:dyDescent="0.25">
      <c r="O1614" s="52"/>
      <c r="P1614" s="52"/>
      <c r="AD1614"/>
      <c r="AE1614"/>
    </row>
    <row r="1615" spans="15:31" x14ac:dyDescent="0.25">
      <c r="O1615" s="52"/>
      <c r="P1615" s="52"/>
      <c r="AD1615"/>
      <c r="AE1615"/>
    </row>
    <row r="1616" spans="15:31" x14ac:dyDescent="0.25">
      <c r="O1616" s="52"/>
      <c r="P1616" s="52"/>
      <c r="AD1616"/>
      <c r="AE1616"/>
    </row>
    <row r="1617" spans="15:31" x14ac:dyDescent="0.25">
      <c r="O1617" s="52"/>
      <c r="P1617" s="52"/>
      <c r="AD1617"/>
      <c r="AE1617"/>
    </row>
    <row r="1618" spans="15:31" x14ac:dyDescent="0.25">
      <c r="O1618" s="52"/>
      <c r="P1618" s="52"/>
      <c r="AD1618"/>
      <c r="AE1618"/>
    </row>
    <row r="1619" spans="15:31" x14ac:dyDescent="0.25">
      <c r="O1619" s="52"/>
      <c r="P1619" s="52"/>
      <c r="AD1619"/>
      <c r="AE1619"/>
    </row>
    <row r="1620" spans="15:31" x14ac:dyDescent="0.25">
      <c r="O1620" s="52"/>
      <c r="P1620" s="52"/>
      <c r="AD1620"/>
      <c r="AE1620"/>
    </row>
    <row r="1621" spans="15:31" x14ac:dyDescent="0.25">
      <c r="O1621" s="52"/>
      <c r="P1621" s="52"/>
      <c r="AD1621"/>
      <c r="AE1621"/>
    </row>
    <row r="1622" spans="15:31" x14ac:dyDescent="0.25">
      <c r="O1622" s="52"/>
      <c r="P1622" s="52"/>
      <c r="AD1622"/>
      <c r="AE1622"/>
    </row>
    <row r="1623" spans="15:31" x14ac:dyDescent="0.25">
      <c r="O1623" s="52"/>
      <c r="P1623" s="52"/>
      <c r="AD1623"/>
      <c r="AE1623"/>
    </row>
    <row r="1624" spans="15:31" x14ac:dyDescent="0.25">
      <c r="O1624" s="52"/>
      <c r="P1624" s="52"/>
      <c r="AD1624"/>
      <c r="AE1624"/>
    </row>
    <row r="1625" spans="15:31" x14ac:dyDescent="0.25">
      <c r="O1625" s="52"/>
      <c r="P1625" s="52"/>
      <c r="AD1625"/>
      <c r="AE1625"/>
    </row>
    <row r="1626" spans="15:31" x14ac:dyDescent="0.25">
      <c r="O1626" s="52"/>
      <c r="P1626" s="52"/>
      <c r="AD1626"/>
      <c r="AE1626"/>
    </row>
    <row r="1627" spans="15:31" x14ac:dyDescent="0.25">
      <c r="O1627" s="52"/>
      <c r="P1627" s="52"/>
      <c r="AD1627"/>
      <c r="AE1627"/>
    </row>
    <row r="1628" spans="15:31" x14ac:dyDescent="0.25">
      <c r="O1628" s="52"/>
      <c r="P1628" s="52"/>
      <c r="AD1628"/>
      <c r="AE1628"/>
    </row>
    <row r="1629" spans="15:31" x14ac:dyDescent="0.25">
      <c r="O1629" s="52"/>
      <c r="P1629" s="52"/>
      <c r="AD1629"/>
      <c r="AE1629"/>
    </row>
    <row r="1630" spans="15:31" x14ac:dyDescent="0.25">
      <c r="O1630" s="52"/>
      <c r="P1630" s="52"/>
      <c r="AD1630"/>
      <c r="AE1630"/>
    </row>
    <row r="1631" spans="15:31" x14ac:dyDescent="0.25">
      <c r="O1631" s="52"/>
      <c r="P1631" s="52"/>
      <c r="AD1631"/>
      <c r="AE1631"/>
    </row>
    <row r="1632" spans="15:31" x14ac:dyDescent="0.25">
      <c r="O1632" s="52"/>
      <c r="P1632" s="52"/>
      <c r="AD1632"/>
      <c r="AE1632"/>
    </row>
    <row r="1633" spans="15:31" x14ac:dyDescent="0.25">
      <c r="O1633" s="52"/>
      <c r="P1633" s="52"/>
      <c r="AD1633"/>
      <c r="AE1633"/>
    </row>
    <row r="1634" spans="15:31" x14ac:dyDescent="0.25">
      <c r="O1634" s="52"/>
      <c r="P1634" s="52"/>
      <c r="AD1634"/>
      <c r="AE1634"/>
    </row>
    <row r="1635" spans="15:31" x14ac:dyDescent="0.25">
      <c r="O1635" s="52"/>
      <c r="P1635" s="52"/>
      <c r="AD1635"/>
      <c r="AE1635"/>
    </row>
    <row r="1636" spans="15:31" x14ac:dyDescent="0.25">
      <c r="O1636" s="52"/>
      <c r="P1636" s="52"/>
      <c r="AD1636"/>
      <c r="AE1636"/>
    </row>
    <row r="1637" spans="15:31" x14ac:dyDescent="0.25">
      <c r="O1637" s="52"/>
      <c r="P1637" s="52"/>
      <c r="AD1637"/>
      <c r="AE1637"/>
    </row>
    <row r="1638" spans="15:31" x14ac:dyDescent="0.25">
      <c r="O1638" s="52"/>
      <c r="P1638" s="52"/>
      <c r="AD1638"/>
      <c r="AE1638"/>
    </row>
    <row r="1639" spans="15:31" x14ac:dyDescent="0.25">
      <c r="O1639" s="52"/>
      <c r="P1639" s="52"/>
      <c r="AD1639"/>
      <c r="AE1639"/>
    </row>
    <row r="1640" spans="15:31" x14ac:dyDescent="0.25">
      <c r="O1640" s="52"/>
      <c r="P1640" s="52"/>
      <c r="AD1640"/>
      <c r="AE1640"/>
    </row>
    <row r="1641" spans="15:31" x14ac:dyDescent="0.25">
      <c r="O1641" s="52"/>
      <c r="P1641" s="52"/>
      <c r="AD1641"/>
      <c r="AE1641"/>
    </row>
    <row r="1642" spans="15:31" x14ac:dyDescent="0.25">
      <c r="O1642" s="52"/>
      <c r="P1642" s="52"/>
      <c r="AD1642"/>
      <c r="AE1642"/>
    </row>
    <row r="1643" spans="15:31" x14ac:dyDescent="0.25">
      <c r="O1643" s="52"/>
      <c r="P1643" s="52"/>
      <c r="AD1643"/>
      <c r="AE1643"/>
    </row>
    <row r="1644" spans="15:31" x14ac:dyDescent="0.25">
      <c r="O1644" s="52"/>
      <c r="P1644" s="52"/>
      <c r="AD1644"/>
      <c r="AE1644"/>
    </row>
    <row r="1645" spans="15:31" x14ac:dyDescent="0.25">
      <c r="O1645" s="52"/>
      <c r="P1645" s="52"/>
      <c r="AD1645"/>
      <c r="AE1645"/>
    </row>
    <row r="1646" spans="15:31" x14ac:dyDescent="0.25">
      <c r="O1646" s="52"/>
      <c r="P1646" s="52"/>
      <c r="AD1646"/>
      <c r="AE1646"/>
    </row>
    <row r="1647" spans="15:31" x14ac:dyDescent="0.25">
      <c r="O1647" s="52"/>
      <c r="P1647" s="52"/>
      <c r="AD1647"/>
      <c r="AE1647"/>
    </row>
    <row r="1648" spans="15:31" x14ac:dyDescent="0.25">
      <c r="O1648" s="52"/>
      <c r="P1648" s="52"/>
      <c r="AD1648"/>
      <c r="AE1648"/>
    </row>
    <row r="1649" spans="15:31" x14ac:dyDescent="0.25">
      <c r="O1649" s="52"/>
      <c r="P1649" s="52"/>
      <c r="AD1649"/>
      <c r="AE1649"/>
    </row>
    <row r="1650" spans="15:31" x14ac:dyDescent="0.25">
      <c r="O1650" s="52"/>
      <c r="P1650" s="52"/>
      <c r="AD1650"/>
      <c r="AE1650"/>
    </row>
    <row r="1651" spans="15:31" x14ac:dyDescent="0.25">
      <c r="O1651" s="52"/>
      <c r="P1651" s="52"/>
      <c r="AD1651"/>
      <c r="AE1651"/>
    </row>
    <row r="1652" spans="15:31" x14ac:dyDescent="0.25">
      <c r="O1652" s="52"/>
      <c r="P1652" s="52"/>
      <c r="AD1652"/>
      <c r="AE1652"/>
    </row>
    <row r="1653" spans="15:31" x14ac:dyDescent="0.25">
      <c r="O1653" s="52"/>
      <c r="P1653" s="52"/>
      <c r="AD1653"/>
      <c r="AE1653"/>
    </row>
    <row r="1654" spans="15:31" x14ac:dyDescent="0.25">
      <c r="O1654" s="52"/>
      <c r="P1654" s="52"/>
      <c r="AD1654"/>
      <c r="AE1654"/>
    </row>
    <row r="1655" spans="15:31" x14ac:dyDescent="0.25">
      <c r="O1655" s="52"/>
      <c r="P1655" s="52"/>
      <c r="AD1655"/>
      <c r="AE1655"/>
    </row>
    <row r="1656" spans="15:31" x14ac:dyDescent="0.25">
      <c r="O1656" s="52"/>
      <c r="P1656" s="52"/>
      <c r="AD1656"/>
      <c r="AE1656"/>
    </row>
    <row r="1657" spans="15:31" x14ac:dyDescent="0.25">
      <c r="O1657" s="52"/>
      <c r="P1657" s="52"/>
      <c r="AD1657"/>
      <c r="AE1657"/>
    </row>
    <row r="1658" spans="15:31" x14ac:dyDescent="0.25">
      <c r="O1658" s="52"/>
      <c r="P1658" s="52"/>
      <c r="AD1658"/>
      <c r="AE1658"/>
    </row>
    <row r="1659" spans="15:31" x14ac:dyDescent="0.25">
      <c r="O1659" s="52"/>
      <c r="P1659" s="52"/>
      <c r="AD1659"/>
      <c r="AE1659"/>
    </row>
    <row r="1660" spans="15:31" x14ac:dyDescent="0.25">
      <c r="O1660" s="52"/>
      <c r="P1660" s="52"/>
      <c r="AD1660"/>
      <c r="AE1660"/>
    </row>
    <row r="1661" spans="15:31" x14ac:dyDescent="0.25">
      <c r="O1661" s="52"/>
      <c r="P1661" s="52"/>
      <c r="AD1661"/>
      <c r="AE1661"/>
    </row>
    <row r="1662" spans="15:31" x14ac:dyDescent="0.25">
      <c r="O1662" s="52"/>
      <c r="P1662" s="52"/>
      <c r="AD1662"/>
      <c r="AE1662"/>
    </row>
    <row r="1663" spans="15:31" x14ac:dyDescent="0.25">
      <c r="O1663" s="52"/>
      <c r="P1663" s="52"/>
      <c r="AD1663"/>
      <c r="AE1663"/>
    </row>
    <row r="1664" spans="15:31" x14ac:dyDescent="0.25">
      <c r="O1664" s="52"/>
      <c r="P1664" s="52"/>
      <c r="AD1664"/>
      <c r="AE1664"/>
    </row>
    <row r="1665" spans="15:31" x14ac:dyDescent="0.25">
      <c r="O1665" s="52"/>
      <c r="P1665" s="52"/>
      <c r="AD1665"/>
      <c r="AE1665"/>
    </row>
    <row r="1666" spans="15:31" x14ac:dyDescent="0.25">
      <c r="O1666" s="52"/>
      <c r="P1666" s="52"/>
      <c r="AD1666"/>
      <c r="AE1666"/>
    </row>
    <row r="1667" spans="15:31" x14ac:dyDescent="0.25">
      <c r="O1667" s="52"/>
      <c r="P1667" s="52"/>
      <c r="AD1667"/>
      <c r="AE1667"/>
    </row>
    <row r="1668" spans="15:31" x14ac:dyDescent="0.25">
      <c r="O1668" s="52"/>
      <c r="P1668" s="52"/>
      <c r="AD1668"/>
      <c r="AE1668"/>
    </row>
    <row r="1669" spans="15:31" x14ac:dyDescent="0.25">
      <c r="O1669" s="52"/>
      <c r="P1669" s="52"/>
      <c r="AD1669"/>
      <c r="AE1669"/>
    </row>
    <row r="1670" spans="15:31" x14ac:dyDescent="0.25">
      <c r="O1670" s="52"/>
      <c r="P1670" s="52"/>
      <c r="AD1670"/>
      <c r="AE1670"/>
    </row>
    <row r="1671" spans="15:31" x14ac:dyDescent="0.25">
      <c r="O1671" s="52"/>
      <c r="P1671" s="52"/>
      <c r="AD1671"/>
      <c r="AE1671"/>
    </row>
    <row r="1672" spans="15:31" x14ac:dyDescent="0.25">
      <c r="O1672" s="52"/>
      <c r="P1672" s="52"/>
      <c r="AD1672"/>
      <c r="AE1672"/>
    </row>
    <row r="1673" spans="15:31" x14ac:dyDescent="0.25">
      <c r="O1673" s="52"/>
      <c r="P1673" s="52"/>
      <c r="AD1673"/>
      <c r="AE1673"/>
    </row>
    <row r="1674" spans="15:31" x14ac:dyDescent="0.25">
      <c r="O1674" s="52"/>
      <c r="P1674" s="52"/>
      <c r="AD1674"/>
      <c r="AE1674"/>
    </row>
    <row r="1675" spans="15:31" x14ac:dyDescent="0.25">
      <c r="O1675" s="52"/>
      <c r="P1675" s="52"/>
      <c r="AD1675"/>
      <c r="AE1675"/>
    </row>
    <row r="1676" spans="15:31" x14ac:dyDescent="0.25">
      <c r="O1676" s="52"/>
      <c r="P1676" s="52"/>
      <c r="AD1676"/>
      <c r="AE1676"/>
    </row>
    <row r="1677" spans="15:31" x14ac:dyDescent="0.25">
      <c r="O1677" s="52"/>
      <c r="P1677" s="52"/>
      <c r="AD1677"/>
      <c r="AE1677"/>
    </row>
    <row r="1678" spans="15:31" x14ac:dyDescent="0.25">
      <c r="O1678" s="52"/>
      <c r="P1678" s="52"/>
      <c r="AD1678"/>
      <c r="AE1678"/>
    </row>
    <row r="1679" spans="15:31" x14ac:dyDescent="0.25">
      <c r="O1679" s="52"/>
      <c r="P1679" s="52"/>
      <c r="AD1679"/>
      <c r="AE1679"/>
    </row>
    <row r="1680" spans="15:31" x14ac:dyDescent="0.25">
      <c r="O1680" s="52"/>
      <c r="P1680" s="52"/>
      <c r="AD1680"/>
      <c r="AE1680"/>
    </row>
    <row r="1681" spans="15:31" x14ac:dyDescent="0.25">
      <c r="O1681" s="52"/>
      <c r="P1681" s="52"/>
      <c r="AD1681"/>
      <c r="AE1681"/>
    </row>
    <row r="1682" spans="15:31" x14ac:dyDescent="0.25">
      <c r="O1682" s="52"/>
      <c r="P1682" s="52"/>
      <c r="AD1682"/>
      <c r="AE1682"/>
    </row>
    <row r="1683" spans="15:31" x14ac:dyDescent="0.25">
      <c r="O1683" s="52"/>
      <c r="P1683" s="52"/>
      <c r="AD1683"/>
      <c r="AE1683"/>
    </row>
    <row r="1684" spans="15:31" x14ac:dyDescent="0.25">
      <c r="O1684" s="52"/>
      <c r="P1684" s="52"/>
      <c r="AD1684"/>
      <c r="AE1684"/>
    </row>
    <row r="1685" spans="15:31" x14ac:dyDescent="0.25">
      <c r="O1685" s="52"/>
      <c r="P1685" s="52"/>
      <c r="AD1685"/>
      <c r="AE1685"/>
    </row>
    <row r="1686" spans="15:31" x14ac:dyDescent="0.25">
      <c r="O1686" s="52"/>
      <c r="P1686" s="52"/>
      <c r="AD1686"/>
      <c r="AE1686"/>
    </row>
    <row r="1687" spans="15:31" x14ac:dyDescent="0.25">
      <c r="O1687" s="52"/>
      <c r="P1687" s="52"/>
      <c r="AD1687"/>
      <c r="AE1687"/>
    </row>
    <row r="1688" spans="15:31" x14ac:dyDescent="0.25">
      <c r="O1688" s="52"/>
      <c r="P1688" s="52"/>
      <c r="AD1688"/>
      <c r="AE1688"/>
    </row>
    <row r="1689" spans="15:31" x14ac:dyDescent="0.25">
      <c r="O1689" s="52"/>
      <c r="P1689" s="52"/>
      <c r="AD1689"/>
      <c r="AE1689"/>
    </row>
    <row r="1690" spans="15:31" x14ac:dyDescent="0.25">
      <c r="O1690" s="52"/>
      <c r="P1690" s="52"/>
      <c r="AD1690"/>
      <c r="AE1690"/>
    </row>
    <row r="1691" spans="15:31" x14ac:dyDescent="0.25">
      <c r="O1691" s="52"/>
      <c r="P1691" s="52"/>
      <c r="AD1691"/>
      <c r="AE1691"/>
    </row>
    <row r="1692" spans="15:31" x14ac:dyDescent="0.25">
      <c r="O1692" s="52"/>
      <c r="P1692" s="52"/>
      <c r="AD1692"/>
      <c r="AE1692"/>
    </row>
    <row r="1693" spans="15:31" x14ac:dyDescent="0.25">
      <c r="O1693" s="52"/>
      <c r="P1693" s="52"/>
      <c r="AD1693"/>
      <c r="AE1693"/>
    </row>
    <row r="1694" spans="15:31" x14ac:dyDescent="0.25">
      <c r="O1694" s="52"/>
      <c r="P1694" s="52"/>
      <c r="AD1694"/>
      <c r="AE1694"/>
    </row>
    <row r="1695" spans="15:31" x14ac:dyDescent="0.25">
      <c r="O1695" s="52"/>
      <c r="P1695" s="52"/>
      <c r="AD1695"/>
      <c r="AE1695"/>
    </row>
    <row r="1696" spans="15:31" x14ac:dyDescent="0.25">
      <c r="O1696" s="52"/>
      <c r="P1696" s="52"/>
      <c r="AD1696"/>
      <c r="AE1696"/>
    </row>
    <row r="1697" spans="15:31" x14ac:dyDescent="0.25">
      <c r="O1697" s="52"/>
      <c r="P1697" s="52"/>
      <c r="AD1697"/>
      <c r="AE1697"/>
    </row>
    <row r="1698" spans="15:31" x14ac:dyDescent="0.25">
      <c r="O1698" s="52"/>
      <c r="P1698" s="52"/>
      <c r="AD1698"/>
      <c r="AE1698"/>
    </row>
    <row r="1699" spans="15:31" x14ac:dyDescent="0.25">
      <c r="O1699" s="52"/>
      <c r="P1699" s="52"/>
      <c r="AD1699"/>
      <c r="AE1699"/>
    </row>
    <row r="1700" spans="15:31" x14ac:dyDescent="0.25">
      <c r="O1700" s="52"/>
      <c r="P1700" s="52"/>
      <c r="AD1700"/>
      <c r="AE1700"/>
    </row>
    <row r="1701" spans="15:31" x14ac:dyDescent="0.25">
      <c r="O1701" s="52"/>
      <c r="P1701" s="52"/>
      <c r="AD1701"/>
      <c r="AE1701"/>
    </row>
    <row r="1702" spans="15:31" x14ac:dyDescent="0.25">
      <c r="O1702" s="52"/>
      <c r="P1702" s="52"/>
      <c r="AD1702"/>
      <c r="AE1702"/>
    </row>
    <row r="1703" spans="15:31" x14ac:dyDescent="0.25">
      <c r="O1703" s="52"/>
      <c r="P1703" s="52"/>
      <c r="AD1703"/>
      <c r="AE1703"/>
    </row>
    <row r="1704" spans="15:31" x14ac:dyDescent="0.25">
      <c r="O1704" s="52"/>
      <c r="P1704" s="52"/>
      <c r="AD1704"/>
      <c r="AE1704"/>
    </row>
    <row r="1705" spans="15:31" x14ac:dyDescent="0.25">
      <c r="O1705" s="52"/>
      <c r="P1705" s="52"/>
      <c r="AD1705"/>
      <c r="AE1705"/>
    </row>
    <row r="1706" spans="15:31" x14ac:dyDescent="0.25">
      <c r="O1706" s="52"/>
      <c r="P1706" s="52"/>
      <c r="AD1706"/>
      <c r="AE1706"/>
    </row>
    <row r="1707" spans="15:31" x14ac:dyDescent="0.25">
      <c r="O1707" s="52"/>
      <c r="P1707" s="52"/>
      <c r="AD1707"/>
      <c r="AE1707"/>
    </row>
    <row r="1708" spans="15:31" x14ac:dyDescent="0.25">
      <c r="O1708" s="52"/>
      <c r="P1708" s="52"/>
      <c r="AD1708"/>
      <c r="AE1708"/>
    </row>
    <row r="1709" spans="15:31" x14ac:dyDescent="0.25">
      <c r="O1709" s="52"/>
      <c r="P1709" s="52"/>
      <c r="AD1709"/>
      <c r="AE1709"/>
    </row>
    <row r="1710" spans="15:31" x14ac:dyDescent="0.25">
      <c r="O1710" s="52"/>
      <c r="P1710" s="52"/>
      <c r="AD1710"/>
      <c r="AE1710"/>
    </row>
    <row r="1711" spans="15:31" x14ac:dyDescent="0.25">
      <c r="O1711" s="52"/>
      <c r="P1711" s="52"/>
      <c r="AD1711"/>
      <c r="AE1711"/>
    </row>
    <row r="1712" spans="15:31" x14ac:dyDescent="0.25">
      <c r="O1712" s="52"/>
      <c r="P1712" s="52"/>
      <c r="AD1712"/>
      <c r="AE1712"/>
    </row>
    <row r="1713" spans="15:31" x14ac:dyDescent="0.25">
      <c r="O1713" s="52"/>
      <c r="P1713" s="52"/>
      <c r="AD1713"/>
      <c r="AE1713"/>
    </row>
    <row r="1714" spans="15:31" x14ac:dyDescent="0.25">
      <c r="O1714" s="52"/>
      <c r="P1714" s="52"/>
      <c r="AD1714"/>
      <c r="AE1714"/>
    </row>
    <row r="1715" spans="15:31" x14ac:dyDescent="0.25">
      <c r="O1715" s="52"/>
      <c r="P1715" s="52"/>
      <c r="AD1715"/>
      <c r="AE1715"/>
    </row>
    <row r="1716" spans="15:31" x14ac:dyDescent="0.25">
      <c r="O1716" s="52"/>
      <c r="P1716" s="52"/>
      <c r="AD1716"/>
      <c r="AE1716"/>
    </row>
    <row r="1717" spans="15:31" x14ac:dyDescent="0.25">
      <c r="O1717" s="52"/>
      <c r="P1717" s="52"/>
      <c r="AD1717"/>
      <c r="AE1717"/>
    </row>
    <row r="1718" spans="15:31" x14ac:dyDescent="0.25">
      <c r="O1718" s="52"/>
      <c r="P1718" s="52"/>
      <c r="AD1718"/>
      <c r="AE1718"/>
    </row>
    <row r="1719" spans="15:31" x14ac:dyDescent="0.25">
      <c r="O1719" s="52"/>
      <c r="P1719" s="52"/>
      <c r="AD1719"/>
      <c r="AE1719"/>
    </row>
    <row r="1720" spans="15:31" x14ac:dyDescent="0.25">
      <c r="O1720" s="52"/>
      <c r="P1720" s="52"/>
      <c r="AD1720"/>
      <c r="AE1720"/>
    </row>
    <row r="1721" spans="15:31" x14ac:dyDescent="0.25">
      <c r="O1721" s="52"/>
      <c r="P1721" s="52"/>
      <c r="AD1721"/>
      <c r="AE1721"/>
    </row>
    <row r="1722" spans="15:31" x14ac:dyDescent="0.25">
      <c r="O1722" s="52"/>
      <c r="P1722" s="52"/>
      <c r="AD1722"/>
      <c r="AE1722"/>
    </row>
    <row r="1723" spans="15:31" x14ac:dyDescent="0.25">
      <c r="O1723" s="52"/>
      <c r="P1723" s="52"/>
      <c r="AD1723"/>
      <c r="AE1723"/>
    </row>
    <row r="1724" spans="15:31" x14ac:dyDescent="0.25">
      <c r="O1724" s="52"/>
      <c r="P1724" s="52"/>
      <c r="AD1724"/>
      <c r="AE1724"/>
    </row>
    <row r="1725" spans="15:31" x14ac:dyDescent="0.25">
      <c r="O1725" s="52"/>
      <c r="P1725" s="52"/>
      <c r="AD1725"/>
      <c r="AE1725"/>
    </row>
    <row r="1726" spans="15:31" x14ac:dyDescent="0.25">
      <c r="O1726" s="52"/>
      <c r="P1726" s="52"/>
      <c r="AD1726"/>
      <c r="AE1726"/>
    </row>
    <row r="1727" spans="15:31" x14ac:dyDescent="0.25">
      <c r="O1727" s="52"/>
      <c r="P1727" s="52"/>
      <c r="AD1727"/>
      <c r="AE1727"/>
    </row>
    <row r="1728" spans="15:31" x14ac:dyDescent="0.25">
      <c r="O1728" s="52"/>
      <c r="P1728" s="52"/>
      <c r="AD1728"/>
      <c r="AE1728"/>
    </row>
    <row r="1729" spans="15:31" x14ac:dyDescent="0.25">
      <c r="O1729" s="52"/>
      <c r="P1729" s="52"/>
      <c r="AD1729"/>
      <c r="AE1729"/>
    </row>
    <row r="1730" spans="15:31" x14ac:dyDescent="0.25">
      <c r="O1730" s="52"/>
      <c r="P1730" s="52"/>
      <c r="AD1730"/>
      <c r="AE1730"/>
    </row>
    <row r="1731" spans="15:31" x14ac:dyDescent="0.25">
      <c r="O1731" s="52"/>
      <c r="P1731" s="52"/>
      <c r="AD1731"/>
      <c r="AE1731"/>
    </row>
    <row r="1732" spans="15:31" x14ac:dyDescent="0.25">
      <c r="O1732" s="52"/>
      <c r="P1732" s="52"/>
      <c r="AD1732"/>
      <c r="AE1732"/>
    </row>
    <row r="1733" spans="15:31" x14ac:dyDescent="0.25">
      <c r="O1733" s="52"/>
      <c r="P1733" s="52"/>
      <c r="AD1733"/>
      <c r="AE1733"/>
    </row>
    <row r="1734" spans="15:31" x14ac:dyDescent="0.25">
      <c r="O1734" s="52"/>
      <c r="P1734" s="52"/>
      <c r="AD1734"/>
      <c r="AE1734"/>
    </row>
    <row r="1735" spans="15:31" x14ac:dyDescent="0.25">
      <c r="O1735" s="52"/>
      <c r="P1735" s="52"/>
      <c r="AD1735"/>
      <c r="AE1735"/>
    </row>
    <row r="1736" spans="15:31" x14ac:dyDescent="0.25">
      <c r="O1736" s="52"/>
      <c r="P1736" s="52"/>
      <c r="AD1736"/>
      <c r="AE1736"/>
    </row>
    <row r="1737" spans="15:31" x14ac:dyDescent="0.25">
      <c r="O1737" s="52"/>
      <c r="P1737" s="52"/>
      <c r="AD1737"/>
      <c r="AE1737"/>
    </row>
    <row r="1738" spans="15:31" x14ac:dyDescent="0.25">
      <c r="O1738" s="52"/>
      <c r="P1738" s="52"/>
      <c r="AD1738"/>
      <c r="AE1738"/>
    </row>
    <row r="1739" spans="15:31" x14ac:dyDescent="0.25">
      <c r="O1739" s="52"/>
      <c r="P1739" s="52"/>
      <c r="AD1739"/>
      <c r="AE1739"/>
    </row>
    <row r="1740" spans="15:31" x14ac:dyDescent="0.25">
      <c r="O1740" s="52"/>
      <c r="P1740" s="52"/>
      <c r="AD1740"/>
      <c r="AE1740"/>
    </row>
    <row r="1741" spans="15:31" x14ac:dyDescent="0.25">
      <c r="O1741" s="52"/>
      <c r="P1741" s="52"/>
      <c r="AD1741"/>
      <c r="AE1741"/>
    </row>
    <row r="1742" spans="15:31" x14ac:dyDescent="0.25">
      <c r="O1742" s="52"/>
      <c r="P1742" s="52"/>
      <c r="AD1742"/>
      <c r="AE1742"/>
    </row>
    <row r="1743" spans="15:31" x14ac:dyDescent="0.25">
      <c r="O1743" s="52"/>
      <c r="P1743" s="52"/>
      <c r="AD1743"/>
      <c r="AE1743"/>
    </row>
    <row r="1744" spans="15:31" x14ac:dyDescent="0.25">
      <c r="O1744" s="52"/>
      <c r="P1744" s="52"/>
      <c r="AD1744"/>
      <c r="AE1744"/>
    </row>
    <row r="1745" spans="15:31" x14ac:dyDescent="0.25">
      <c r="O1745" s="52"/>
      <c r="P1745" s="52"/>
      <c r="AD1745"/>
      <c r="AE1745"/>
    </row>
    <row r="1746" spans="15:31" x14ac:dyDescent="0.25">
      <c r="O1746" s="52"/>
      <c r="P1746" s="52"/>
      <c r="AD1746"/>
      <c r="AE1746"/>
    </row>
    <row r="1747" spans="15:31" x14ac:dyDescent="0.25">
      <c r="O1747" s="52"/>
      <c r="P1747" s="52"/>
      <c r="AD1747"/>
      <c r="AE1747"/>
    </row>
    <row r="1748" spans="15:31" x14ac:dyDescent="0.25">
      <c r="O1748" s="52"/>
      <c r="P1748" s="52"/>
      <c r="AD1748"/>
      <c r="AE1748"/>
    </row>
    <row r="1749" spans="15:31" x14ac:dyDescent="0.25">
      <c r="O1749" s="52"/>
      <c r="P1749" s="52"/>
      <c r="AD1749"/>
      <c r="AE1749"/>
    </row>
    <row r="1750" spans="15:31" x14ac:dyDescent="0.25">
      <c r="O1750" s="52"/>
      <c r="P1750" s="52"/>
      <c r="AD1750"/>
      <c r="AE1750"/>
    </row>
    <row r="1751" spans="15:31" x14ac:dyDescent="0.25">
      <c r="O1751" s="52"/>
      <c r="P1751" s="52"/>
      <c r="AD1751"/>
      <c r="AE1751"/>
    </row>
    <row r="1752" spans="15:31" x14ac:dyDescent="0.25">
      <c r="O1752" s="52"/>
      <c r="P1752" s="52"/>
      <c r="AD1752"/>
      <c r="AE1752"/>
    </row>
    <row r="1753" spans="15:31" x14ac:dyDescent="0.25">
      <c r="O1753" s="52"/>
      <c r="P1753" s="52"/>
      <c r="AD1753"/>
      <c r="AE1753"/>
    </row>
    <row r="1754" spans="15:31" x14ac:dyDescent="0.25">
      <c r="O1754" s="52"/>
      <c r="P1754" s="52"/>
      <c r="AD1754"/>
      <c r="AE1754"/>
    </row>
    <row r="1755" spans="15:31" x14ac:dyDescent="0.25">
      <c r="O1755" s="52"/>
      <c r="P1755" s="52"/>
      <c r="AD1755"/>
      <c r="AE1755"/>
    </row>
    <row r="1756" spans="15:31" x14ac:dyDescent="0.25">
      <c r="O1756" s="52"/>
      <c r="P1756" s="52"/>
      <c r="AD1756"/>
      <c r="AE1756"/>
    </row>
    <row r="1757" spans="15:31" x14ac:dyDescent="0.25">
      <c r="O1757" s="52"/>
      <c r="P1757" s="52"/>
      <c r="AD1757"/>
      <c r="AE1757"/>
    </row>
    <row r="1758" spans="15:31" x14ac:dyDescent="0.25">
      <c r="O1758" s="52"/>
      <c r="P1758" s="52"/>
      <c r="AD1758"/>
      <c r="AE1758"/>
    </row>
    <row r="1759" spans="15:31" x14ac:dyDescent="0.25">
      <c r="O1759" s="52"/>
      <c r="P1759" s="52"/>
      <c r="AD1759"/>
      <c r="AE1759"/>
    </row>
    <row r="1760" spans="15:31" x14ac:dyDescent="0.25">
      <c r="O1760" s="52"/>
      <c r="P1760" s="52"/>
      <c r="AD1760"/>
      <c r="AE1760"/>
    </row>
    <row r="1761" spans="15:31" x14ac:dyDescent="0.25">
      <c r="O1761" s="52"/>
      <c r="P1761" s="52"/>
      <c r="AD1761"/>
      <c r="AE1761"/>
    </row>
    <row r="1762" spans="15:31" x14ac:dyDescent="0.25">
      <c r="O1762" s="52"/>
      <c r="P1762" s="52"/>
      <c r="AD1762"/>
      <c r="AE1762"/>
    </row>
    <row r="1763" spans="15:31" x14ac:dyDescent="0.25">
      <c r="O1763" s="52"/>
      <c r="P1763" s="52"/>
      <c r="AD1763"/>
      <c r="AE1763"/>
    </row>
    <row r="1764" spans="15:31" x14ac:dyDescent="0.25">
      <c r="O1764" s="52"/>
      <c r="P1764" s="52"/>
      <c r="AD1764"/>
      <c r="AE1764"/>
    </row>
    <row r="1765" spans="15:31" x14ac:dyDescent="0.25">
      <c r="O1765" s="52"/>
      <c r="P1765" s="52"/>
      <c r="AD1765"/>
      <c r="AE1765"/>
    </row>
    <row r="1766" spans="15:31" x14ac:dyDescent="0.25">
      <c r="O1766" s="52"/>
      <c r="P1766" s="52"/>
      <c r="AD1766"/>
      <c r="AE1766"/>
    </row>
    <row r="1767" spans="15:31" x14ac:dyDescent="0.25">
      <c r="O1767" s="52"/>
      <c r="P1767" s="52"/>
      <c r="AD1767"/>
      <c r="AE1767"/>
    </row>
    <row r="1768" spans="15:31" x14ac:dyDescent="0.25">
      <c r="O1768" s="52"/>
      <c r="P1768" s="52"/>
      <c r="AD1768"/>
      <c r="AE1768"/>
    </row>
    <row r="1769" spans="15:31" x14ac:dyDescent="0.25">
      <c r="O1769" s="52"/>
      <c r="P1769" s="52"/>
      <c r="AD1769"/>
      <c r="AE1769"/>
    </row>
    <row r="1770" spans="15:31" x14ac:dyDescent="0.25">
      <c r="O1770" s="52"/>
      <c r="P1770" s="52"/>
      <c r="AD1770"/>
      <c r="AE1770"/>
    </row>
    <row r="1771" spans="15:31" x14ac:dyDescent="0.25">
      <c r="O1771" s="52"/>
      <c r="P1771" s="52"/>
      <c r="AD1771"/>
      <c r="AE1771"/>
    </row>
    <row r="1772" spans="15:31" x14ac:dyDescent="0.25">
      <c r="O1772" s="52"/>
      <c r="P1772" s="52"/>
      <c r="AD1772"/>
      <c r="AE1772"/>
    </row>
    <row r="1773" spans="15:31" x14ac:dyDescent="0.25">
      <c r="O1773" s="52"/>
      <c r="P1773" s="52"/>
      <c r="AD1773"/>
      <c r="AE1773"/>
    </row>
    <row r="1774" spans="15:31" x14ac:dyDescent="0.25">
      <c r="O1774" s="52"/>
      <c r="P1774" s="52"/>
      <c r="AD1774"/>
      <c r="AE1774"/>
    </row>
    <row r="1775" spans="15:31" x14ac:dyDescent="0.25">
      <c r="O1775" s="52"/>
      <c r="P1775" s="52"/>
      <c r="AD1775"/>
      <c r="AE1775"/>
    </row>
    <row r="1776" spans="15:31" x14ac:dyDescent="0.25">
      <c r="O1776" s="52"/>
      <c r="P1776" s="52"/>
      <c r="AD1776"/>
      <c r="AE1776"/>
    </row>
    <row r="1777" spans="15:31" x14ac:dyDescent="0.25">
      <c r="O1777" s="52"/>
      <c r="P1777" s="52"/>
      <c r="AD1777"/>
      <c r="AE1777"/>
    </row>
    <row r="1778" spans="15:31" x14ac:dyDescent="0.25">
      <c r="O1778" s="52"/>
      <c r="P1778" s="52"/>
      <c r="AD1778"/>
      <c r="AE1778"/>
    </row>
    <row r="1779" spans="15:31" x14ac:dyDescent="0.25">
      <c r="O1779" s="52"/>
      <c r="P1779" s="52"/>
      <c r="AD1779"/>
      <c r="AE1779"/>
    </row>
    <row r="1780" spans="15:31" x14ac:dyDescent="0.25">
      <c r="O1780" s="52"/>
      <c r="P1780" s="52"/>
      <c r="AD1780"/>
      <c r="AE1780"/>
    </row>
    <row r="1781" spans="15:31" x14ac:dyDescent="0.25">
      <c r="O1781" s="52"/>
      <c r="P1781" s="52"/>
      <c r="AD1781"/>
      <c r="AE1781"/>
    </row>
    <row r="1782" spans="15:31" x14ac:dyDescent="0.25">
      <c r="O1782" s="52"/>
      <c r="P1782" s="52"/>
      <c r="AD1782"/>
      <c r="AE1782"/>
    </row>
    <row r="1783" spans="15:31" x14ac:dyDescent="0.25">
      <c r="O1783" s="52"/>
      <c r="P1783" s="52"/>
      <c r="AD1783"/>
      <c r="AE1783"/>
    </row>
    <row r="1784" spans="15:31" x14ac:dyDescent="0.25">
      <c r="O1784" s="52"/>
      <c r="P1784" s="52"/>
      <c r="AD1784"/>
      <c r="AE1784"/>
    </row>
    <row r="1785" spans="15:31" x14ac:dyDescent="0.25">
      <c r="O1785" s="52"/>
      <c r="P1785" s="52"/>
      <c r="AD1785"/>
      <c r="AE1785"/>
    </row>
    <row r="1786" spans="15:31" x14ac:dyDescent="0.25">
      <c r="O1786" s="52"/>
      <c r="P1786" s="52"/>
      <c r="AD1786"/>
      <c r="AE1786"/>
    </row>
    <row r="1787" spans="15:31" x14ac:dyDescent="0.25">
      <c r="O1787" s="52"/>
      <c r="P1787" s="52"/>
      <c r="AD1787"/>
      <c r="AE1787"/>
    </row>
    <row r="1788" spans="15:31" x14ac:dyDescent="0.25">
      <c r="O1788" s="52"/>
      <c r="P1788" s="52"/>
      <c r="AD1788"/>
      <c r="AE1788"/>
    </row>
    <row r="1789" spans="15:31" x14ac:dyDescent="0.25">
      <c r="O1789" s="52"/>
      <c r="P1789" s="52"/>
      <c r="AD1789"/>
      <c r="AE1789"/>
    </row>
    <row r="1790" spans="15:31" x14ac:dyDescent="0.25">
      <c r="O1790" s="52"/>
      <c r="P1790" s="52"/>
      <c r="AD1790"/>
      <c r="AE1790"/>
    </row>
    <row r="1791" spans="15:31" x14ac:dyDescent="0.25">
      <c r="O1791" s="52"/>
      <c r="P1791" s="52"/>
      <c r="AD1791"/>
      <c r="AE1791"/>
    </row>
    <row r="1792" spans="15:31" x14ac:dyDescent="0.25">
      <c r="O1792" s="52"/>
      <c r="P1792" s="52"/>
      <c r="AD1792"/>
      <c r="AE1792"/>
    </row>
    <row r="1793" spans="15:31" x14ac:dyDescent="0.25">
      <c r="O1793" s="52"/>
      <c r="P1793" s="52"/>
      <c r="AD1793"/>
      <c r="AE1793"/>
    </row>
    <row r="1794" spans="15:31" x14ac:dyDescent="0.25">
      <c r="O1794" s="52"/>
      <c r="P1794" s="52"/>
      <c r="AD1794"/>
      <c r="AE1794"/>
    </row>
    <row r="1795" spans="15:31" x14ac:dyDescent="0.25">
      <c r="O1795" s="52"/>
      <c r="P1795" s="52"/>
      <c r="AD1795"/>
      <c r="AE1795"/>
    </row>
    <row r="1796" spans="15:31" x14ac:dyDescent="0.25">
      <c r="O1796" s="52"/>
      <c r="P1796" s="52"/>
      <c r="AD1796"/>
      <c r="AE1796"/>
    </row>
    <row r="1797" spans="15:31" x14ac:dyDescent="0.25">
      <c r="O1797" s="52"/>
      <c r="P1797" s="52"/>
      <c r="AD1797"/>
      <c r="AE1797"/>
    </row>
    <row r="1798" spans="15:31" x14ac:dyDescent="0.25">
      <c r="O1798" s="52"/>
      <c r="P1798" s="52"/>
      <c r="AD1798"/>
      <c r="AE1798"/>
    </row>
    <row r="1799" spans="15:31" x14ac:dyDescent="0.25">
      <c r="O1799" s="52"/>
      <c r="P1799" s="52"/>
      <c r="AD1799"/>
      <c r="AE1799"/>
    </row>
    <row r="1800" spans="15:31" x14ac:dyDescent="0.25">
      <c r="O1800" s="52"/>
      <c r="P1800" s="52"/>
      <c r="AD1800"/>
      <c r="AE1800"/>
    </row>
    <row r="1801" spans="15:31" x14ac:dyDescent="0.25">
      <c r="O1801" s="52"/>
      <c r="P1801" s="52"/>
      <c r="AD1801"/>
      <c r="AE1801"/>
    </row>
    <row r="1802" spans="15:31" x14ac:dyDescent="0.25">
      <c r="O1802" s="52"/>
      <c r="P1802" s="52"/>
      <c r="AD1802"/>
      <c r="AE1802"/>
    </row>
    <row r="1803" spans="15:31" x14ac:dyDescent="0.25">
      <c r="O1803" s="52"/>
      <c r="P1803" s="52"/>
      <c r="AD1803"/>
      <c r="AE1803"/>
    </row>
    <row r="1804" spans="15:31" x14ac:dyDescent="0.25">
      <c r="O1804" s="52"/>
      <c r="P1804" s="52"/>
      <c r="AD1804"/>
      <c r="AE1804"/>
    </row>
    <row r="1805" spans="15:31" x14ac:dyDescent="0.25">
      <c r="O1805" s="52"/>
      <c r="P1805" s="52"/>
      <c r="AD1805"/>
      <c r="AE1805"/>
    </row>
    <row r="1806" spans="15:31" x14ac:dyDescent="0.25">
      <c r="O1806" s="52"/>
      <c r="P1806" s="52"/>
      <c r="AD1806"/>
      <c r="AE1806"/>
    </row>
    <row r="1807" spans="15:31" x14ac:dyDescent="0.25">
      <c r="O1807" s="52"/>
      <c r="P1807" s="52"/>
      <c r="AD1807"/>
      <c r="AE1807"/>
    </row>
    <row r="1808" spans="15:31" x14ac:dyDescent="0.25">
      <c r="O1808" s="52"/>
      <c r="P1808" s="52"/>
      <c r="AD1808"/>
      <c r="AE1808"/>
    </row>
    <row r="1809" spans="15:31" x14ac:dyDescent="0.25">
      <c r="O1809" s="52"/>
      <c r="P1809" s="52"/>
      <c r="AD1809"/>
      <c r="AE1809"/>
    </row>
    <row r="1810" spans="15:31" x14ac:dyDescent="0.25">
      <c r="O1810" s="52"/>
      <c r="P1810" s="52"/>
      <c r="AD1810"/>
      <c r="AE1810"/>
    </row>
    <row r="1811" spans="15:31" x14ac:dyDescent="0.25">
      <c r="O1811" s="52"/>
      <c r="P1811" s="52"/>
      <c r="AD1811"/>
      <c r="AE1811"/>
    </row>
    <row r="1812" spans="15:31" x14ac:dyDescent="0.25">
      <c r="O1812" s="52"/>
      <c r="P1812" s="52"/>
      <c r="AD1812"/>
      <c r="AE1812"/>
    </row>
    <row r="1813" spans="15:31" x14ac:dyDescent="0.25">
      <c r="O1813" s="52"/>
      <c r="P1813" s="52"/>
      <c r="AD1813"/>
      <c r="AE1813"/>
    </row>
    <row r="1814" spans="15:31" x14ac:dyDescent="0.25">
      <c r="O1814" s="52"/>
      <c r="P1814" s="52"/>
      <c r="AD1814"/>
      <c r="AE1814"/>
    </row>
    <row r="1815" spans="15:31" x14ac:dyDescent="0.25">
      <c r="O1815" s="52"/>
      <c r="P1815" s="52"/>
      <c r="AD1815"/>
      <c r="AE1815"/>
    </row>
    <row r="1816" spans="15:31" x14ac:dyDescent="0.25">
      <c r="O1816" s="52"/>
      <c r="P1816" s="52"/>
      <c r="AD1816"/>
      <c r="AE1816"/>
    </row>
    <row r="1817" spans="15:31" x14ac:dyDescent="0.25">
      <c r="O1817" s="52"/>
      <c r="P1817" s="52"/>
      <c r="AD1817"/>
      <c r="AE1817"/>
    </row>
    <row r="1818" spans="15:31" x14ac:dyDescent="0.25">
      <c r="O1818" s="52"/>
      <c r="P1818" s="52"/>
      <c r="AD1818"/>
      <c r="AE1818"/>
    </row>
    <row r="1819" spans="15:31" x14ac:dyDescent="0.25">
      <c r="O1819" s="52"/>
      <c r="P1819" s="52"/>
      <c r="AD1819"/>
      <c r="AE1819"/>
    </row>
    <row r="1820" spans="15:31" x14ac:dyDescent="0.25">
      <c r="O1820" s="52"/>
      <c r="P1820" s="52"/>
      <c r="AD1820"/>
      <c r="AE1820"/>
    </row>
    <row r="1821" spans="15:31" x14ac:dyDescent="0.25">
      <c r="O1821" s="52"/>
      <c r="P1821" s="52"/>
      <c r="AD1821"/>
      <c r="AE1821"/>
    </row>
    <row r="1822" spans="15:31" x14ac:dyDescent="0.25">
      <c r="O1822" s="52"/>
      <c r="P1822" s="52"/>
      <c r="AD1822"/>
      <c r="AE1822"/>
    </row>
    <row r="1823" spans="15:31" x14ac:dyDescent="0.25">
      <c r="O1823" s="52"/>
      <c r="P1823" s="52"/>
      <c r="AD1823"/>
      <c r="AE1823"/>
    </row>
    <row r="1824" spans="15:31" x14ac:dyDescent="0.25">
      <c r="O1824" s="52"/>
      <c r="P1824" s="52"/>
      <c r="AD1824"/>
      <c r="AE1824"/>
    </row>
    <row r="1825" spans="15:31" x14ac:dyDescent="0.25">
      <c r="O1825" s="52"/>
      <c r="P1825" s="52"/>
      <c r="AD1825"/>
      <c r="AE1825"/>
    </row>
    <row r="1826" spans="15:31" x14ac:dyDescent="0.25">
      <c r="O1826" s="52"/>
      <c r="P1826" s="52"/>
      <c r="AD1826"/>
      <c r="AE1826"/>
    </row>
    <row r="1827" spans="15:31" x14ac:dyDescent="0.25">
      <c r="O1827" s="52"/>
      <c r="P1827" s="52"/>
      <c r="AD1827"/>
      <c r="AE1827"/>
    </row>
    <row r="1828" spans="15:31" x14ac:dyDescent="0.25">
      <c r="O1828" s="52"/>
      <c r="P1828" s="52"/>
      <c r="AD1828"/>
      <c r="AE1828"/>
    </row>
    <row r="1829" spans="15:31" x14ac:dyDescent="0.25">
      <c r="O1829" s="52"/>
      <c r="P1829" s="52"/>
      <c r="AD1829"/>
      <c r="AE1829"/>
    </row>
    <row r="1830" spans="15:31" x14ac:dyDescent="0.25">
      <c r="O1830" s="52"/>
      <c r="P1830" s="52"/>
      <c r="AD1830"/>
      <c r="AE1830"/>
    </row>
    <row r="1831" spans="15:31" x14ac:dyDescent="0.25">
      <c r="O1831" s="52"/>
      <c r="P1831" s="52"/>
      <c r="AD1831"/>
      <c r="AE1831"/>
    </row>
    <row r="1832" spans="15:31" x14ac:dyDescent="0.25">
      <c r="O1832" s="52"/>
      <c r="P1832" s="52"/>
      <c r="AD1832"/>
      <c r="AE1832"/>
    </row>
    <row r="1833" spans="15:31" x14ac:dyDescent="0.25">
      <c r="O1833" s="52"/>
      <c r="P1833" s="52"/>
      <c r="AD1833"/>
      <c r="AE1833"/>
    </row>
    <row r="1834" spans="15:31" x14ac:dyDescent="0.25">
      <c r="O1834" s="52"/>
      <c r="P1834" s="52"/>
      <c r="AD1834"/>
      <c r="AE1834"/>
    </row>
    <row r="1835" spans="15:31" x14ac:dyDescent="0.25">
      <c r="O1835" s="52"/>
      <c r="P1835" s="52"/>
      <c r="AD1835"/>
      <c r="AE1835"/>
    </row>
    <row r="1836" spans="15:31" x14ac:dyDescent="0.25">
      <c r="O1836" s="52"/>
      <c r="P1836" s="52"/>
      <c r="AD1836"/>
      <c r="AE1836"/>
    </row>
    <row r="1837" spans="15:31" x14ac:dyDescent="0.25">
      <c r="O1837" s="52"/>
      <c r="P1837" s="52"/>
      <c r="AD1837"/>
      <c r="AE1837"/>
    </row>
    <row r="1838" spans="15:31" x14ac:dyDescent="0.25">
      <c r="O1838" s="52"/>
      <c r="P1838" s="52"/>
      <c r="AD1838"/>
      <c r="AE1838"/>
    </row>
    <row r="1839" spans="15:31" x14ac:dyDescent="0.25">
      <c r="O1839" s="52"/>
      <c r="P1839" s="52"/>
      <c r="AD1839"/>
      <c r="AE1839"/>
    </row>
    <row r="1840" spans="15:31" x14ac:dyDescent="0.25">
      <c r="O1840" s="52"/>
      <c r="P1840" s="52"/>
      <c r="AD1840"/>
      <c r="AE1840"/>
    </row>
    <row r="1841" spans="15:31" x14ac:dyDescent="0.25">
      <c r="O1841" s="52"/>
      <c r="P1841" s="52"/>
      <c r="AD1841"/>
      <c r="AE1841"/>
    </row>
    <row r="1842" spans="15:31" x14ac:dyDescent="0.25">
      <c r="O1842" s="52"/>
      <c r="P1842" s="52"/>
      <c r="AD1842"/>
      <c r="AE1842"/>
    </row>
    <row r="1843" spans="15:31" x14ac:dyDescent="0.25">
      <c r="O1843" s="52"/>
      <c r="P1843" s="52"/>
      <c r="AD1843"/>
      <c r="AE1843"/>
    </row>
    <row r="1844" spans="15:31" x14ac:dyDescent="0.25">
      <c r="O1844" s="52"/>
      <c r="P1844" s="52"/>
      <c r="AD1844"/>
      <c r="AE1844"/>
    </row>
    <row r="1845" spans="15:31" x14ac:dyDescent="0.25">
      <c r="O1845" s="52"/>
      <c r="P1845" s="52"/>
      <c r="AD1845"/>
      <c r="AE1845"/>
    </row>
    <row r="1846" spans="15:31" x14ac:dyDescent="0.25">
      <c r="O1846" s="52"/>
      <c r="P1846" s="52"/>
      <c r="AD1846"/>
      <c r="AE1846"/>
    </row>
    <row r="1847" spans="15:31" x14ac:dyDescent="0.25">
      <c r="O1847" s="52"/>
      <c r="P1847" s="52"/>
      <c r="AD1847"/>
      <c r="AE1847"/>
    </row>
    <row r="1848" spans="15:31" x14ac:dyDescent="0.25">
      <c r="O1848" s="52"/>
      <c r="P1848" s="52"/>
      <c r="AD1848"/>
      <c r="AE1848"/>
    </row>
    <row r="1849" spans="15:31" x14ac:dyDescent="0.25">
      <c r="O1849" s="52"/>
      <c r="P1849" s="52"/>
      <c r="AD1849"/>
      <c r="AE1849"/>
    </row>
    <row r="1850" spans="15:31" x14ac:dyDescent="0.25">
      <c r="O1850" s="52"/>
      <c r="P1850" s="52"/>
      <c r="AD1850"/>
      <c r="AE1850"/>
    </row>
    <row r="1851" spans="15:31" x14ac:dyDescent="0.25">
      <c r="O1851" s="52"/>
      <c r="P1851" s="52"/>
      <c r="AD1851"/>
      <c r="AE1851"/>
    </row>
    <row r="1852" spans="15:31" x14ac:dyDescent="0.25">
      <c r="O1852" s="52"/>
      <c r="P1852" s="52"/>
      <c r="AD1852"/>
      <c r="AE1852"/>
    </row>
    <row r="1853" spans="15:31" x14ac:dyDescent="0.25">
      <c r="O1853" s="52"/>
      <c r="P1853" s="52"/>
      <c r="AD1853"/>
      <c r="AE1853"/>
    </row>
    <row r="1854" spans="15:31" x14ac:dyDescent="0.25">
      <c r="O1854" s="52"/>
      <c r="P1854" s="52"/>
      <c r="AD1854"/>
      <c r="AE1854"/>
    </row>
    <row r="1855" spans="15:31" x14ac:dyDescent="0.25">
      <c r="O1855" s="52"/>
      <c r="P1855" s="52"/>
      <c r="AD1855"/>
      <c r="AE1855"/>
    </row>
    <row r="1856" spans="15:31" x14ac:dyDescent="0.25">
      <c r="O1856" s="52"/>
      <c r="P1856" s="52"/>
      <c r="AD1856"/>
      <c r="AE1856"/>
    </row>
    <row r="1857" spans="15:31" x14ac:dyDescent="0.25">
      <c r="O1857" s="52"/>
      <c r="P1857" s="52"/>
      <c r="AD1857"/>
      <c r="AE1857"/>
    </row>
    <row r="1858" spans="15:31" x14ac:dyDescent="0.25">
      <c r="O1858" s="52"/>
      <c r="P1858" s="52"/>
      <c r="AD1858"/>
      <c r="AE1858"/>
    </row>
    <row r="1859" spans="15:31" x14ac:dyDescent="0.25">
      <c r="O1859" s="52"/>
      <c r="P1859" s="52"/>
      <c r="AD1859"/>
      <c r="AE1859"/>
    </row>
    <row r="1860" spans="15:31" x14ac:dyDescent="0.25">
      <c r="O1860" s="52"/>
      <c r="P1860" s="52"/>
      <c r="AD1860"/>
      <c r="AE1860"/>
    </row>
    <row r="1861" spans="15:31" x14ac:dyDescent="0.25">
      <c r="O1861" s="52"/>
      <c r="P1861" s="52"/>
      <c r="AD1861"/>
      <c r="AE1861"/>
    </row>
    <row r="1862" spans="15:31" x14ac:dyDescent="0.25">
      <c r="O1862" s="52"/>
      <c r="P1862" s="52"/>
      <c r="AD1862"/>
      <c r="AE1862"/>
    </row>
    <row r="1863" spans="15:31" x14ac:dyDescent="0.25">
      <c r="O1863" s="52"/>
      <c r="P1863" s="52"/>
      <c r="AD1863"/>
      <c r="AE1863"/>
    </row>
    <row r="1864" spans="15:31" x14ac:dyDescent="0.25">
      <c r="O1864" s="52"/>
      <c r="P1864" s="52"/>
      <c r="AD1864"/>
      <c r="AE1864"/>
    </row>
    <row r="1865" spans="15:31" x14ac:dyDescent="0.25">
      <c r="O1865" s="52"/>
      <c r="P1865" s="52"/>
      <c r="AD1865"/>
      <c r="AE1865"/>
    </row>
    <row r="1866" spans="15:31" x14ac:dyDescent="0.25">
      <c r="O1866" s="52"/>
      <c r="P1866" s="52"/>
      <c r="AD1866"/>
      <c r="AE1866"/>
    </row>
    <row r="1867" spans="15:31" x14ac:dyDescent="0.25">
      <c r="O1867" s="52"/>
      <c r="P1867" s="52"/>
      <c r="AD1867"/>
      <c r="AE1867"/>
    </row>
    <row r="1868" spans="15:31" x14ac:dyDescent="0.25">
      <c r="O1868" s="52"/>
      <c r="P1868" s="52"/>
      <c r="AD1868"/>
      <c r="AE1868"/>
    </row>
    <row r="1869" spans="15:31" x14ac:dyDescent="0.25">
      <c r="O1869" s="52"/>
      <c r="P1869" s="52"/>
      <c r="AD1869"/>
      <c r="AE1869"/>
    </row>
    <row r="1870" spans="15:31" x14ac:dyDescent="0.25">
      <c r="O1870" s="52"/>
      <c r="P1870" s="52"/>
      <c r="AD1870"/>
      <c r="AE1870"/>
    </row>
    <row r="1871" spans="15:31" x14ac:dyDescent="0.25">
      <c r="O1871" s="52"/>
      <c r="P1871" s="52"/>
      <c r="AD1871"/>
      <c r="AE1871"/>
    </row>
    <row r="1872" spans="15:31" x14ac:dyDescent="0.25">
      <c r="O1872" s="52"/>
      <c r="P1872" s="52"/>
      <c r="AD1872"/>
      <c r="AE1872"/>
    </row>
    <row r="1873" spans="15:31" x14ac:dyDescent="0.25">
      <c r="O1873" s="52"/>
      <c r="P1873" s="52"/>
      <c r="AD1873"/>
      <c r="AE1873"/>
    </row>
    <row r="1874" spans="15:31" x14ac:dyDescent="0.25">
      <c r="O1874" s="52"/>
      <c r="P1874" s="52"/>
      <c r="AD1874"/>
      <c r="AE1874"/>
    </row>
    <row r="1875" spans="15:31" x14ac:dyDescent="0.25">
      <c r="O1875" s="52"/>
      <c r="P1875" s="52"/>
      <c r="AD1875"/>
      <c r="AE1875"/>
    </row>
    <row r="1876" spans="15:31" x14ac:dyDescent="0.25">
      <c r="O1876" s="52"/>
      <c r="P1876" s="52"/>
      <c r="AD1876"/>
      <c r="AE1876"/>
    </row>
    <row r="1877" spans="15:31" x14ac:dyDescent="0.25">
      <c r="O1877" s="52"/>
      <c r="P1877" s="52"/>
      <c r="AD1877"/>
      <c r="AE1877"/>
    </row>
    <row r="1878" spans="15:31" x14ac:dyDescent="0.25">
      <c r="O1878" s="52"/>
      <c r="P1878" s="52"/>
      <c r="AD1878"/>
      <c r="AE1878"/>
    </row>
    <row r="1879" spans="15:31" x14ac:dyDescent="0.25">
      <c r="O1879" s="52"/>
      <c r="P1879" s="52"/>
      <c r="AD1879"/>
      <c r="AE1879"/>
    </row>
    <row r="1880" spans="15:31" x14ac:dyDescent="0.25">
      <c r="O1880" s="52"/>
      <c r="P1880" s="52"/>
      <c r="AD1880"/>
      <c r="AE1880"/>
    </row>
    <row r="1881" spans="15:31" x14ac:dyDescent="0.25">
      <c r="O1881" s="52"/>
      <c r="P1881" s="52"/>
      <c r="AD1881"/>
      <c r="AE1881"/>
    </row>
    <row r="1882" spans="15:31" x14ac:dyDescent="0.25">
      <c r="O1882" s="52"/>
      <c r="P1882" s="52"/>
      <c r="AD1882"/>
      <c r="AE1882"/>
    </row>
    <row r="1883" spans="15:31" x14ac:dyDescent="0.25">
      <c r="O1883" s="52"/>
      <c r="P1883" s="52"/>
      <c r="AD1883"/>
      <c r="AE1883"/>
    </row>
    <row r="1884" spans="15:31" x14ac:dyDescent="0.25">
      <c r="O1884" s="52"/>
      <c r="P1884" s="52"/>
      <c r="AD1884"/>
      <c r="AE1884"/>
    </row>
    <row r="1885" spans="15:31" x14ac:dyDescent="0.25">
      <c r="O1885" s="52"/>
      <c r="P1885" s="52"/>
      <c r="AD1885"/>
      <c r="AE1885"/>
    </row>
    <row r="1886" spans="15:31" x14ac:dyDescent="0.25">
      <c r="O1886" s="52"/>
      <c r="P1886" s="52"/>
      <c r="AD1886"/>
      <c r="AE1886"/>
    </row>
    <row r="1887" spans="15:31" x14ac:dyDescent="0.25">
      <c r="O1887" s="52"/>
      <c r="P1887" s="52"/>
      <c r="AD1887"/>
      <c r="AE1887"/>
    </row>
    <row r="1888" spans="15:31" x14ac:dyDescent="0.25">
      <c r="O1888" s="52"/>
      <c r="P1888" s="52"/>
      <c r="AD1888"/>
      <c r="AE1888"/>
    </row>
    <row r="1889" spans="15:31" x14ac:dyDescent="0.25">
      <c r="O1889" s="52"/>
      <c r="P1889" s="52"/>
      <c r="AD1889"/>
      <c r="AE1889"/>
    </row>
    <row r="1890" spans="15:31" x14ac:dyDescent="0.25">
      <c r="O1890" s="52"/>
      <c r="P1890" s="52"/>
      <c r="AD1890"/>
      <c r="AE1890"/>
    </row>
    <row r="1891" spans="15:31" x14ac:dyDescent="0.25">
      <c r="O1891" s="52"/>
      <c r="P1891" s="52"/>
      <c r="AD1891"/>
      <c r="AE1891"/>
    </row>
    <row r="1892" spans="15:31" x14ac:dyDescent="0.25">
      <c r="O1892" s="52"/>
      <c r="P1892" s="52"/>
      <c r="AD1892"/>
      <c r="AE1892"/>
    </row>
    <row r="1893" spans="15:31" x14ac:dyDescent="0.25">
      <c r="O1893" s="52"/>
      <c r="P1893" s="52"/>
      <c r="AD1893"/>
      <c r="AE1893"/>
    </row>
    <row r="1894" spans="15:31" x14ac:dyDescent="0.25">
      <c r="O1894" s="52"/>
      <c r="P1894" s="52"/>
      <c r="AD1894"/>
      <c r="AE1894"/>
    </row>
    <row r="1895" spans="15:31" x14ac:dyDescent="0.25">
      <c r="O1895" s="52"/>
      <c r="P1895" s="52"/>
      <c r="AD1895"/>
      <c r="AE1895"/>
    </row>
    <row r="1896" spans="15:31" x14ac:dyDescent="0.25">
      <c r="O1896" s="52"/>
      <c r="P1896" s="52"/>
      <c r="AD1896"/>
      <c r="AE1896"/>
    </row>
    <row r="1897" spans="15:31" x14ac:dyDescent="0.25">
      <c r="O1897" s="52"/>
      <c r="P1897" s="52"/>
      <c r="AD1897"/>
      <c r="AE1897"/>
    </row>
    <row r="1898" spans="15:31" x14ac:dyDescent="0.25">
      <c r="O1898" s="52"/>
      <c r="P1898" s="52"/>
      <c r="AD1898"/>
      <c r="AE1898"/>
    </row>
    <row r="1899" spans="15:31" x14ac:dyDescent="0.25">
      <c r="O1899" s="52"/>
      <c r="P1899" s="52"/>
      <c r="AD1899"/>
      <c r="AE1899"/>
    </row>
    <row r="1900" spans="15:31" x14ac:dyDescent="0.25">
      <c r="O1900" s="52"/>
      <c r="P1900" s="52"/>
      <c r="AD1900"/>
      <c r="AE1900"/>
    </row>
    <row r="1901" spans="15:31" x14ac:dyDescent="0.25">
      <c r="O1901" s="52"/>
      <c r="P1901" s="52"/>
      <c r="AD1901"/>
      <c r="AE1901"/>
    </row>
    <row r="1902" spans="15:31" x14ac:dyDescent="0.25">
      <c r="O1902" s="52"/>
      <c r="P1902" s="52"/>
      <c r="AD1902"/>
      <c r="AE1902"/>
    </row>
    <row r="1903" spans="15:31" x14ac:dyDescent="0.25">
      <c r="O1903" s="52"/>
      <c r="P1903" s="52"/>
      <c r="AD1903"/>
      <c r="AE1903"/>
    </row>
    <row r="1904" spans="15:31" x14ac:dyDescent="0.25">
      <c r="O1904" s="52"/>
      <c r="P1904" s="52"/>
      <c r="AD1904"/>
      <c r="AE1904"/>
    </row>
    <row r="1905" spans="15:31" x14ac:dyDescent="0.25">
      <c r="O1905" s="52"/>
      <c r="P1905" s="52"/>
      <c r="AD1905"/>
      <c r="AE1905"/>
    </row>
    <row r="1906" spans="15:31" x14ac:dyDescent="0.25">
      <c r="O1906" s="52"/>
      <c r="P1906" s="52"/>
      <c r="AD1906"/>
      <c r="AE1906"/>
    </row>
    <row r="1907" spans="15:31" x14ac:dyDescent="0.25">
      <c r="O1907" s="52"/>
      <c r="P1907" s="52"/>
      <c r="AD1907"/>
      <c r="AE1907"/>
    </row>
    <row r="1908" spans="15:31" x14ac:dyDescent="0.25">
      <c r="O1908" s="52"/>
      <c r="P1908" s="52"/>
      <c r="AD1908"/>
      <c r="AE1908"/>
    </row>
    <row r="1909" spans="15:31" x14ac:dyDescent="0.25">
      <c r="O1909" s="52"/>
      <c r="P1909" s="52"/>
      <c r="AD1909"/>
      <c r="AE1909"/>
    </row>
    <row r="1910" spans="15:31" x14ac:dyDescent="0.25">
      <c r="O1910" s="52"/>
      <c r="P1910" s="52"/>
      <c r="AD1910"/>
      <c r="AE1910"/>
    </row>
    <row r="1911" spans="15:31" x14ac:dyDescent="0.25">
      <c r="O1911" s="52"/>
      <c r="P1911" s="52"/>
      <c r="AD1911"/>
      <c r="AE1911"/>
    </row>
    <row r="1912" spans="15:31" x14ac:dyDescent="0.25">
      <c r="O1912" s="52"/>
      <c r="P1912" s="52"/>
      <c r="AD1912"/>
      <c r="AE1912"/>
    </row>
    <row r="1913" spans="15:31" x14ac:dyDescent="0.25">
      <c r="O1913" s="52"/>
      <c r="P1913" s="52"/>
      <c r="AD1913"/>
      <c r="AE1913"/>
    </row>
    <row r="1914" spans="15:31" x14ac:dyDescent="0.25">
      <c r="O1914" s="52"/>
      <c r="P1914" s="52"/>
      <c r="AD1914"/>
      <c r="AE1914"/>
    </row>
    <row r="1915" spans="15:31" x14ac:dyDescent="0.25">
      <c r="O1915" s="52"/>
      <c r="P1915" s="52"/>
      <c r="AD1915"/>
      <c r="AE1915"/>
    </row>
    <row r="1916" spans="15:31" x14ac:dyDescent="0.25">
      <c r="O1916" s="52"/>
      <c r="P1916" s="52"/>
      <c r="AD1916"/>
      <c r="AE1916"/>
    </row>
    <row r="1917" spans="15:31" x14ac:dyDescent="0.25">
      <c r="O1917" s="52"/>
      <c r="P1917" s="52"/>
      <c r="AD1917"/>
      <c r="AE1917"/>
    </row>
    <row r="1918" spans="15:31" x14ac:dyDescent="0.25">
      <c r="O1918" s="52"/>
      <c r="P1918" s="52"/>
      <c r="AD1918"/>
      <c r="AE1918"/>
    </row>
    <row r="1919" spans="15:31" x14ac:dyDescent="0.25">
      <c r="O1919" s="52"/>
      <c r="P1919" s="52"/>
      <c r="AD1919"/>
      <c r="AE1919"/>
    </row>
    <row r="1920" spans="15:31" x14ac:dyDescent="0.25">
      <c r="O1920" s="52"/>
      <c r="P1920" s="52"/>
      <c r="AD1920"/>
      <c r="AE1920"/>
    </row>
    <row r="1921" spans="15:31" x14ac:dyDescent="0.25">
      <c r="O1921" s="52"/>
      <c r="P1921" s="52"/>
      <c r="AD1921"/>
      <c r="AE1921"/>
    </row>
    <row r="1922" spans="15:31" x14ac:dyDescent="0.25">
      <c r="O1922" s="52"/>
      <c r="P1922" s="52"/>
      <c r="AD1922"/>
      <c r="AE1922"/>
    </row>
    <row r="1923" spans="15:31" x14ac:dyDescent="0.25">
      <c r="O1923" s="52"/>
      <c r="P1923" s="52"/>
      <c r="AD1923"/>
      <c r="AE1923"/>
    </row>
    <row r="1924" spans="15:31" x14ac:dyDescent="0.25">
      <c r="O1924" s="52"/>
      <c r="P1924" s="52"/>
      <c r="AD1924"/>
      <c r="AE1924"/>
    </row>
    <row r="1925" spans="15:31" x14ac:dyDescent="0.25">
      <c r="O1925" s="52"/>
      <c r="P1925" s="52"/>
      <c r="AD1925"/>
      <c r="AE1925"/>
    </row>
    <row r="1926" spans="15:31" x14ac:dyDescent="0.25">
      <c r="O1926" s="52"/>
      <c r="P1926" s="52"/>
      <c r="AD1926"/>
      <c r="AE1926"/>
    </row>
    <row r="1927" spans="15:31" x14ac:dyDescent="0.25">
      <c r="O1927" s="52"/>
      <c r="P1927" s="52"/>
      <c r="AD1927"/>
      <c r="AE1927"/>
    </row>
    <row r="1928" spans="15:31" x14ac:dyDescent="0.25">
      <c r="O1928" s="52"/>
      <c r="P1928" s="52"/>
      <c r="AD1928"/>
      <c r="AE1928"/>
    </row>
    <row r="1929" spans="15:31" x14ac:dyDescent="0.25">
      <c r="O1929" s="52"/>
      <c r="P1929" s="52"/>
      <c r="AD1929"/>
      <c r="AE1929"/>
    </row>
    <row r="1930" spans="15:31" x14ac:dyDescent="0.25">
      <c r="O1930" s="52"/>
      <c r="P1930" s="52"/>
      <c r="AD1930"/>
      <c r="AE1930"/>
    </row>
    <row r="1931" spans="15:31" x14ac:dyDescent="0.25">
      <c r="O1931" s="52"/>
      <c r="P1931" s="52"/>
      <c r="AD1931"/>
      <c r="AE1931"/>
    </row>
    <row r="1932" spans="15:31" x14ac:dyDescent="0.25">
      <c r="O1932" s="52"/>
      <c r="P1932" s="52"/>
      <c r="AD1932"/>
      <c r="AE1932"/>
    </row>
    <row r="1933" spans="15:31" x14ac:dyDescent="0.25">
      <c r="O1933" s="52"/>
      <c r="P1933" s="52"/>
      <c r="AD1933"/>
      <c r="AE1933"/>
    </row>
    <row r="1934" spans="15:31" x14ac:dyDescent="0.25">
      <c r="O1934" s="52"/>
      <c r="P1934" s="52"/>
      <c r="AD1934"/>
      <c r="AE1934"/>
    </row>
    <row r="1935" spans="15:31" x14ac:dyDescent="0.25">
      <c r="O1935" s="52"/>
      <c r="P1935" s="52"/>
      <c r="AD1935"/>
      <c r="AE1935"/>
    </row>
    <row r="1936" spans="15:31" x14ac:dyDescent="0.25">
      <c r="O1936" s="52"/>
      <c r="P1936" s="52"/>
      <c r="AD1936"/>
      <c r="AE1936"/>
    </row>
    <row r="1937" spans="15:31" x14ac:dyDescent="0.25">
      <c r="O1937" s="52"/>
      <c r="P1937" s="52"/>
      <c r="AD1937"/>
      <c r="AE1937"/>
    </row>
    <row r="1938" spans="15:31" x14ac:dyDescent="0.25">
      <c r="O1938" s="52"/>
      <c r="P1938" s="52"/>
      <c r="AD1938"/>
      <c r="AE1938"/>
    </row>
    <row r="1939" spans="15:31" x14ac:dyDescent="0.25">
      <c r="O1939" s="52"/>
      <c r="P1939" s="52"/>
      <c r="AD1939"/>
      <c r="AE1939"/>
    </row>
    <row r="1940" spans="15:31" x14ac:dyDescent="0.25">
      <c r="O1940" s="52"/>
      <c r="P1940" s="52"/>
      <c r="AD1940"/>
      <c r="AE1940"/>
    </row>
    <row r="1941" spans="15:31" x14ac:dyDescent="0.25">
      <c r="O1941" s="52"/>
      <c r="P1941" s="52"/>
      <c r="AD1941"/>
      <c r="AE1941"/>
    </row>
    <row r="1942" spans="15:31" x14ac:dyDescent="0.25">
      <c r="O1942" s="52"/>
      <c r="P1942" s="52"/>
      <c r="AD1942"/>
      <c r="AE1942"/>
    </row>
    <row r="1943" spans="15:31" x14ac:dyDescent="0.25">
      <c r="O1943" s="52"/>
      <c r="P1943" s="52"/>
      <c r="AD1943"/>
      <c r="AE1943"/>
    </row>
    <row r="1944" spans="15:31" x14ac:dyDescent="0.25">
      <c r="O1944" s="52"/>
      <c r="P1944" s="52"/>
      <c r="AD1944"/>
      <c r="AE1944"/>
    </row>
    <row r="1945" spans="15:31" x14ac:dyDescent="0.25">
      <c r="O1945" s="52"/>
      <c r="P1945" s="52"/>
      <c r="AD1945"/>
      <c r="AE1945"/>
    </row>
    <row r="1946" spans="15:31" x14ac:dyDescent="0.25">
      <c r="O1946" s="52"/>
      <c r="P1946" s="52"/>
      <c r="AD1946"/>
      <c r="AE1946"/>
    </row>
    <row r="1947" spans="15:31" x14ac:dyDescent="0.25">
      <c r="O1947" s="52"/>
      <c r="P1947" s="52"/>
      <c r="AD1947"/>
      <c r="AE1947"/>
    </row>
    <row r="1948" spans="15:31" x14ac:dyDescent="0.25">
      <c r="O1948" s="52"/>
      <c r="P1948" s="52"/>
      <c r="AD1948"/>
      <c r="AE1948"/>
    </row>
    <row r="1949" spans="15:31" x14ac:dyDescent="0.25">
      <c r="O1949" s="52"/>
      <c r="P1949" s="52"/>
      <c r="AD1949"/>
      <c r="AE1949"/>
    </row>
    <row r="1950" spans="15:31" x14ac:dyDescent="0.25">
      <c r="O1950" s="52"/>
      <c r="P1950" s="52"/>
      <c r="AD1950"/>
      <c r="AE1950"/>
    </row>
    <row r="1951" spans="15:31" x14ac:dyDescent="0.25">
      <c r="O1951" s="52"/>
      <c r="P1951" s="52"/>
      <c r="AD1951"/>
      <c r="AE1951"/>
    </row>
    <row r="1952" spans="15:31" x14ac:dyDescent="0.25">
      <c r="O1952" s="52"/>
      <c r="P1952" s="52"/>
      <c r="AD1952"/>
      <c r="AE1952"/>
    </row>
    <row r="1953" spans="15:31" x14ac:dyDescent="0.25">
      <c r="O1953" s="52"/>
      <c r="P1953" s="52"/>
      <c r="AD1953"/>
      <c r="AE1953"/>
    </row>
    <row r="1954" spans="15:31" x14ac:dyDescent="0.25">
      <c r="O1954" s="52"/>
      <c r="P1954" s="52"/>
      <c r="AD1954"/>
      <c r="AE1954"/>
    </row>
    <row r="1955" spans="15:31" x14ac:dyDescent="0.25">
      <c r="O1955" s="52"/>
      <c r="P1955" s="52"/>
      <c r="AD1955"/>
      <c r="AE1955"/>
    </row>
    <row r="1956" spans="15:31" x14ac:dyDescent="0.25">
      <c r="O1956" s="52"/>
      <c r="P1956" s="52"/>
      <c r="AD1956"/>
      <c r="AE1956"/>
    </row>
    <row r="1957" spans="15:31" x14ac:dyDescent="0.25">
      <c r="O1957" s="52"/>
      <c r="P1957" s="52"/>
      <c r="AD1957"/>
      <c r="AE1957"/>
    </row>
    <row r="1958" spans="15:31" x14ac:dyDescent="0.25">
      <c r="O1958" s="52"/>
      <c r="P1958" s="52"/>
      <c r="AD1958"/>
      <c r="AE1958"/>
    </row>
    <row r="1959" spans="15:31" x14ac:dyDescent="0.25">
      <c r="O1959" s="52"/>
      <c r="P1959" s="52"/>
      <c r="AD1959"/>
      <c r="AE1959"/>
    </row>
    <row r="1960" spans="15:31" x14ac:dyDescent="0.25">
      <c r="O1960" s="52"/>
      <c r="P1960" s="52"/>
      <c r="AD1960"/>
      <c r="AE1960"/>
    </row>
    <row r="1961" spans="15:31" x14ac:dyDescent="0.25">
      <c r="O1961" s="52"/>
      <c r="P1961" s="52"/>
      <c r="AD1961"/>
      <c r="AE1961"/>
    </row>
    <row r="1962" spans="15:31" x14ac:dyDescent="0.25">
      <c r="O1962" s="52"/>
      <c r="P1962" s="52"/>
      <c r="AD1962"/>
      <c r="AE1962"/>
    </row>
    <row r="1963" spans="15:31" x14ac:dyDescent="0.25">
      <c r="O1963" s="52"/>
      <c r="P1963" s="52"/>
      <c r="AD1963"/>
      <c r="AE1963"/>
    </row>
    <row r="1964" spans="15:31" x14ac:dyDescent="0.25">
      <c r="O1964" s="52"/>
      <c r="P1964" s="52"/>
      <c r="AD1964"/>
      <c r="AE1964"/>
    </row>
    <row r="1965" spans="15:31" x14ac:dyDescent="0.25">
      <c r="O1965" s="52"/>
      <c r="P1965" s="52"/>
      <c r="AD1965"/>
      <c r="AE1965"/>
    </row>
    <row r="1966" spans="15:31" x14ac:dyDescent="0.25">
      <c r="O1966" s="52"/>
      <c r="P1966" s="52"/>
      <c r="AD1966"/>
      <c r="AE1966"/>
    </row>
    <row r="1967" spans="15:31" x14ac:dyDescent="0.25">
      <c r="O1967" s="52"/>
      <c r="P1967" s="52"/>
      <c r="AD1967"/>
      <c r="AE1967"/>
    </row>
    <row r="1968" spans="15:31" x14ac:dyDescent="0.25">
      <c r="O1968" s="52"/>
      <c r="P1968" s="52"/>
      <c r="AD1968"/>
      <c r="AE1968"/>
    </row>
    <row r="1969" spans="15:31" x14ac:dyDescent="0.25">
      <c r="O1969" s="52"/>
      <c r="P1969" s="52"/>
      <c r="AD1969"/>
      <c r="AE1969"/>
    </row>
    <row r="1970" spans="15:31" x14ac:dyDescent="0.25">
      <c r="O1970" s="52"/>
      <c r="P1970" s="52"/>
      <c r="AD1970"/>
      <c r="AE1970"/>
    </row>
    <row r="1971" spans="15:31" x14ac:dyDescent="0.25">
      <c r="O1971" s="52"/>
      <c r="P1971" s="52"/>
      <c r="AD1971"/>
      <c r="AE1971"/>
    </row>
    <row r="1972" spans="15:31" x14ac:dyDescent="0.25">
      <c r="O1972" s="52"/>
      <c r="P1972" s="52"/>
      <c r="AD1972"/>
      <c r="AE1972"/>
    </row>
    <row r="1973" spans="15:31" x14ac:dyDescent="0.25">
      <c r="O1973" s="52"/>
      <c r="P1973" s="52"/>
      <c r="AD1973"/>
      <c r="AE1973"/>
    </row>
    <row r="1974" spans="15:31" x14ac:dyDescent="0.25">
      <c r="O1974" s="52"/>
      <c r="P1974" s="52"/>
      <c r="AD1974"/>
      <c r="AE1974"/>
    </row>
    <row r="1975" spans="15:31" x14ac:dyDescent="0.25">
      <c r="O1975" s="52"/>
      <c r="P1975" s="52"/>
      <c r="AD1975"/>
      <c r="AE1975"/>
    </row>
    <row r="1976" spans="15:31" x14ac:dyDescent="0.25">
      <c r="O1976" s="52"/>
      <c r="P1976" s="52"/>
      <c r="AD1976"/>
      <c r="AE1976"/>
    </row>
    <row r="1977" spans="15:31" x14ac:dyDescent="0.25">
      <c r="O1977" s="52"/>
      <c r="P1977" s="52"/>
      <c r="AD1977"/>
      <c r="AE1977"/>
    </row>
    <row r="1978" spans="15:31" x14ac:dyDescent="0.25">
      <c r="O1978" s="52"/>
      <c r="P1978" s="52"/>
      <c r="AD1978"/>
      <c r="AE1978"/>
    </row>
    <row r="1979" spans="15:31" x14ac:dyDescent="0.25">
      <c r="O1979" s="52"/>
      <c r="P1979" s="52"/>
      <c r="AD1979"/>
      <c r="AE1979"/>
    </row>
    <row r="1980" spans="15:31" x14ac:dyDescent="0.25">
      <c r="O1980" s="52"/>
      <c r="P1980" s="52"/>
      <c r="AD1980"/>
      <c r="AE1980"/>
    </row>
    <row r="1981" spans="15:31" x14ac:dyDescent="0.25">
      <c r="O1981" s="52"/>
      <c r="P1981" s="52"/>
      <c r="AD1981"/>
      <c r="AE1981"/>
    </row>
    <row r="1982" spans="15:31" x14ac:dyDescent="0.25">
      <c r="O1982" s="52"/>
      <c r="P1982" s="52"/>
      <c r="AD1982"/>
      <c r="AE1982"/>
    </row>
    <row r="1983" spans="15:31" x14ac:dyDescent="0.25">
      <c r="O1983" s="52"/>
      <c r="P1983" s="52"/>
      <c r="AD1983"/>
      <c r="AE1983"/>
    </row>
    <row r="1984" spans="15:31" x14ac:dyDescent="0.25">
      <c r="O1984" s="52"/>
      <c r="P1984" s="52"/>
      <c r="AD1984"/>
      <c r="AE1984"/>
    </row>
    <row r="1985" spans="15:31" x14ac:dyDescent="0.25">
      <c r="O1985" s="52"/>
      <c r="P1985" s="52"/>
      <c r="AD1985"/>
      <c r="AE1985"/>
    </row>
    <row r="1986" spans="15:31" x14ac:dyDescent="0.25">
      <c r="O1986" s="52"/>
      <c r="P1986" s="52"/>
      <c r="AD1986"/>
      <c r="AE1986"/>
    </row>
    <row r="1987" spans="15:31" x14ac:dyDescent="0.25">
      <c r="O1987" s="52"/>
      <c r="P1987" s="52"/>
      <c r="AD1987"/>
      <c r="AE1987"/>
    </row>
    <row r="1988" spans="15:31" x14ac:dyDescent="0.25">
      <c r="O1988" s="52"/>
      <c r="P1988" s="52"/>
      <c r="AD1988"/>
      <c r="AE1988"/>
    </row>
    <row r="1989" spans="15:31" x14ac:dyDescent="0.25">
      <c r="O1989" s="52"/>
      <c r="P1989" s="52"/>
      <c r="AD1989"/>
      <c r="AE1989"/>
    </row>
    <row r="1990" spans="15:31" x14ac:dyDescent="0.25">
      <c r="O1990" s="52"/>
      <c r="P1990" s="52"/>
      <c r="AD1990"/>
      <c r="AE1990"/>
    </row>
    <row r="1991" spans="15:31" x14ac:dyDescent="0.25">
      <c r="O1991" s="52"/>
      <c r="P1991" s="52"/>
      <c r="AD1991"/>
      <c r="AE1991"/>
    </row>
    <row r="1992" spans="15:31" x14ac:dyDescent="0.25">
      <c r="O1992" s="52"/>
      <c r="P1992" s="52"/>
      <c r="AD1992"/>
      <c r="AE1992"/>
    </row>
    <row r="1993" spans="15:31" x14ac:dyDescent="0.25">
      <c r="O1993" s="52"/>
      <c r="P1993" s="52"/>
      <c r="AD1993"/>
      <c r="AE1993"/>
    </row>
    <row r="1994" spans="15:31" x14ac:dyDescent="0.25">
      <c r="O1994" s="52"/>
      <c r="P1994" s="52"/>
      <c r="AD1994"/>
      <c r="AE1994"/>
    </row>
    <row r="1995" spans="15:31" x14ac:dyDescent="0.25">
      <c r="O1995" s="52"/>
      <c r="P1995" s="52"/>
      <c r="AD1995"/>
      <c r="AE1995"/>
    </row>
    <row r="1996" spans="15:31" x14ac:dyDescent="0.25">
      <c r="O1996" s="52"/>
      <c r="P1996" s="52"/>
      <c r="AD1996"/>
      <c r="AE1996"/>
    </row>
    <row r="1997" spans="15:31" x14ac:dyDescent="0.25">
      <c r="O1997" s="52"/>
      <c r="P1997" s="52"/>
      <c r="AD1997"/>
      <c r="AE1997"/>
    </row>
    <row r="1998" spans="15:31" x14ac:dyDescent="0.25">
      <c r="O1998" s="52"/>
      <c r="P1998" s="52"/>
      <c r="AD1998"/>
      <c r="AE1998"/>
    </row>
    <row r="1999" spans="15:31" x14ac:dyDescent="0.25">
      <c r="O1999" s="52"/>
      <c r="P1999" s="52"/>
      <c r="AD1999"/>
      <c r="AE1999"/>
    </row>
    <row r="2000" spans="15:31" x14ac:dyDescent="0.25">
      <c r="O2000" s="52"/>
      <c r="P2000" s="52"/>
      <c r="AD2000"/>
      <c r="AE2000"/>
    </row>
    <row r="2001" spans="15:31" x14ac:dyDescent="0.25">
      <c r="O2001" s="52"/>
      <c r="P2001" s="52"/>
      <c r="AD2001"/>
      <c r="AE2001"/>
    </row>
    <row r="2002" spans="15:31" x14ac:dyDescent="0.25">
      <c r="O2002" s="52"/>
      <c r="P2002" s="52"/>
      <c r="AD2002"/>
      <c r="AE2002"/>
    </row>
    <row r="2003" spans="15:31" x14ac:dyDescent="0.25">
      <c r="O2003" s="52"/>
      <c r="P2003" s="52"/>
      <c r="AD2003"/>
      <c r="AE2003"/>
    </row>
    <row r="2004" spans="15:31" x14ac:dyDescent="0.25">
      <c r="O2004" s="52"/>
      <c r="P2004" s="52"/>
      <c r="AD2004"/>
      <c r="AE2004"/>
    </row>
    <row r="2005" spans="15:31" x14ac:dyDescent="0.25">
      <c r="O2005" s="52"/>
      <c r="P2005" s="52"/>
      <c r="AD2005"/>
      <c r="AE2005"/>
    </row>
    <row r="2006" spans="15:31" x14ac:dyDescent="0.25">
      <c r="O2006" s="52"/>
      <c r="P2006" s="52"/>
      <c r="AD2006"/>
      <c r="AE2006"/>
    </row>
    <row r="2007" spans="15:31" x14ac:dyDescent="0.25">
      <c r="O2007" s="52"/>
      <c r="P2007" s="52"/>
      <c r="AD2007"/>
      <c r="AE2007"/>
    </row>
    <row r="2008" spans="15:31" x14ac:dyDescent="0.25">
      <c r="O2008" s="52"/>
      <c r="P2008" s="52"/>
      <c r="AD2008"/>
      <c r="AE2008"/>
    </row>
    <row r="2009" spans="15:31" x14ac:dyDescent="0.25">
      <c r="O2009" s="52"/>
      <c r="P2009" s="52"/>
      <c r="AD2009"/>
      <c r="AE2009"/>
    </row>
    <row r="2010" spans="15:31" x14ac:dyDescent="0.25">
      <c r="O2010" s="52"/>
      <c r="P2010" s="52"/>
      <c r="AD2010"/>
      <c r="AE2010"/>
    </row>
    <row r="2011" spans="15:31" x14ac:dyDescent="0.25">
      <c r="O2011" s="52"/>
      <c r="P2011" s="52"/>
      <c r="AD2011"/>
      <c r="AE2011"/>
    </row>
    <row r="2012" spans="15:31" x14ac:dyDescent="0.25">
      <c r="O2012" s="52"/>
      <c r="P2012" s="52"/>
      <c r="AD2012"/>
      <c r="AE2012"/>
    </row>
    <row r="2013" spans="15:31" x14ac:dyDescent="0.25">
      <c r="O2013" s="52"/>
      <c r="P2013" s="52"/>
      <c r="AD2013"/>
      <c r="AE2013"/>
    </row>
    <row r="2014" spans="15:31" x14ac:dyDescent="0.25">
      <c r="O2014" s="52"/>
      <c r="P2014" s="52"/>
      <c r="AD2014"/>
      <c r="AE2014"/>
    </row>
    <row r="2015" spans="15:31" x14ac:dyDescent="0.25">
      <c r="O2015" s="52"/>
      <c r="P2015" s="52"/>
      <c r="AD2015"/>
      <c r="AE2015"/>
    </row>
    <row r="2016" spans="15:31" x14ac:dyDescent="0.25">
      <c r="O2016" s="52"/>
      <c r="P2016" s="52"/>
      <c r="AD2016"/>
      <c r="AE2016"/>
    </row>
    <row r="2017" spans="15:31" x14ac:dyDescent="0.25">
      <c r="O2017" s="52"/>
      <c r="P2017" s="52"/>
      <c r="AD2017"/>
      <c r="AE2017"/>
    </row>
    <row r="2018" spans="15:31" x14ac:dyDescent="0.25">
      <c r="O2018" s="52"/>
      <c r="P2018" s="52"/>
      <c r="AD2018"/>
      <c r="AE2018"/>
    </row>
    <row r="2019" spans="15:31" x14ac:dyDescent="0.25">
      <c r="O2019" s="52"/>
      <c r="P2019" s="52"/>
      <c r="AD2019"/>
      <c r="AE2019"/>
    </row>
    <row r="2020" spans="15:31" x14ac:dyDescent="0.25">
      <c r="O2020" s="52"/>
      <c r="P2020" s="52"/>
      <c r="AD2020"/>
      <c r="AE2020"/>
    </row>
    <row r="2021" spans="15:31" x14ac:dyDescent="0.25">
      <c r="O2021" s="52"/>
      <c r="P2021" s="52"/>
      <c r="AD2021"/>
      <c r="AE2021"/>
    </row>
    <row r="2022" spans="15:31" x14ac:dyDescent="0.25">
      <c r="O2022" s="52"/>
      <c r="P2022" s="52"/>
      <c r="AD2022"/>
      <c r="AE2022"/>
    </row>
    <row r="2023" spans="15:31" x14ac:dyDescent="0.25">
      <c r="O2023" s="52"/>
      <c r="P2023" s="52"/>
      <c r="AD2023"/>
      <c r="AE2023"/>
    </row>
    <row r="2024" spans="15:31" x14ac:dyDescent="0.25">
      <c r="O2024" s="52"/>
      <c r="P2024" s="52"/>
      <c r="AD2024"/>
      <c r="AE2024"/>
    </row>
    <row r="2025" spans="15:31" x14ac:dyDescent="0.25">
      <c r="O2025" s="52"/>
      <c r="P2025" s="52"/>
      <c r="AD2025"/>
      <c r="AE2025"/>
    </row>
    <row r="2026" spans="15:31" x14ac:dyDescent="0.25">
      <c r="O2026" s="52"/>
      <c r="P2026" s="52"/>
      <c r="AD2026"/>
      <c r="AE2026"/>
    </row>
    <row r="2027" spans="15:31" x14ac:dyDescent="0.25">
      <c r="O2027" s="52"/>
      <c r="P2027" s="52"/>
      <c r="AD2027"/>
      <c r="AE2027"/>
    </row>
    <row r="2028" spans="15:31" x14ac:dyDescent="0.25">
      <c r="O2028" s="52"/>
      <c r="P2028" s="52"/>
      <c r="AD2028"/>
      <c r="AE2028"/>
    </row>
    <row r="2029" spans="15:31" x14ac:dyDescent="0.25">
      <c r="O2029" s="52"/>
      <c r="P2029" s="52"/>
      <c r="AD2029"/>
      <c r="AE2029"/>
    </row>
    <row r="2030" spans="15:31" x14ac:dyDescent="0.25">
      <c r="O2030" s="52"/>
      <c r="P2030" s="52"/>
      <c r="AD2030"/>
      <c r="AE2030"/>
    </row>
    <row r="2031" spans="15:31" x14ac:dyDescent="0.25">
      <c r="O2031" s="52"/>
      <c r="P2031" s="52"/>
      <c r="AD2031"/>
      <c r="AE2031"/>
    </row>
    <row r="2032" spans="15:31" x14ac:dyDescent="0.25">
      <c r="O2032" s="52"/>
      <c r="P2032" s="52"/>
      <c r="AD2032"/>
      <c r="AE2032"/>
    </row>
    <row r="2033" spans="15:31" x14ac:dyDescent="0.25">
      <c r="O2033" s="52"/>
      <c r="P2033" s="52"/>
      <c r="AD2033"/>
      <c r="AE2033"/>
    </row>
    <row r="2034" spans="15:31" x14ac:dyDescent="0.25">
      <c r="O2034" s="52"/>
      <c r="P2034" s="52"/>
      <c r="AD2034"/>
      <c r="AE2034"/>
    </row>
    <row r="2035" spans="15:31" x14ac:dyDescent="0.25">
      <c r="O2035" s="52"/>
      <c r="P2035" s="52"/>
      <c r="AD2035"/>
      <c r="AE2035"/>
    </row>
    <row r="2036" spans="15:31" x14ac:dyDescent="0.25">
      <c r="O2036" s="52"/>
      <c r="P2036" s="52"/>
      <c r="AD2036"/>
      <c r="AE2036"/>
    </row>
    <row r="2037" spans="15:31" x14ac:dyDescent="0.25">
      <c r="O2037" s="52"/>
      <c r="P2037" s="52"/>
      <c r="AD2037"/>
      <c r="AE2037"/>
    </row>
    <row r="2038" spans="15:31" x14ac:dyDescent="0.25">
      <c r="O2038" s="52"/>
      <c r="P2038" s="52"/>
      <c r="AD2038"/>
      <c r="AE2038"/>
    </row>
    <row r="2039" spans="15:31" x14ac:dyDescent="0.25">
      <c r="O2039" s="52"/>
      <c r="P2039" s="52"/>
      <c r="AD2039"/>
      <c r="AE2039"/>
    </row>
    <row r="2040" spans="15:31" x14ac:dyDescent="0.25">
      <c r="O2040" s="52"/>
      <c r="P2040" s="52"/>
      <c r="AD2040"/>
      <c r="AE2040"/>
    </row>
    <row r="2041" spans="15:31" x14ac:dyDescent="0.25">
      <c r="O2041" s="52"/>
      <c r="P2041" s="52"/>
      <c r="AD2041"/>
      <c r="AE2041"/>
    </row>
    <row r="2042" spans="15:31" x14ac:dyDescent="0.25">
      <c r="O2042" s="52"/>
      <c r="P2042" s="52"/>
      <c r="AD2042"/>
      <c r="AE2042"/>
    </row>
    <row r="2043" spans="15:31" x14ac:dyDescent="0.25">
      <c r="O2043" s="52"/>
      <c r="P2043" s="52"/>
      <c r="AD2043"/>
      <c r="AE2043"/>
    </row>
    <row r="2044" spans="15:31" x14ac:dyDescent="0.25">
      <c r="O2044" s="52"/>
      <c r="P2044" s="52"/>
      <c r="AD2044"/>
      <c r="AE2044"/>
    </row>
    <row r="2045" spans="15:31" x14ac:dyDescent="0.25">
      <c r="O2045" s="52"/>
      <c r="P2045" s="52"/>
      <c r="AD2045"/>
      <c r="AE2045"/>
    </row>
    <row r="2046" spans="15:31" x14ac:dyDescent="0.25">
      <c r="O2046" s="52"/>
      <c r="P2046" s="52"/>
      <c r="AD2046"/>
      <c r="AE2046"/>
    </row>
    <row r="2047" spans="15:31" x14ac:dyDescent="0.25">
      <c r="O2047" s="52"/>
      <c r="P2047" s="52"/>
      <c r="AD2047"/>
      <c r="AE2047"/>
    </row>
    <row r="2048" spans="15:31" x14ac:dyDescent="0.25">
      <c r="O2048" s="52"/>
      <c r="P2048" s="52"/>
      <c r="AD2048"/>
      <c r="AE2048"/>
    </row>
    <row r="2049" spans="15:31" x14ac:dyDescent="0.25">
      <c r="O2049" s="52"/>
      <c r="P2049" s="52"/>
      <c r="AD2049"/>
      <c r="AE2049"/>
    </row>
    <row r="2050" spans="15:31" x14ac:dyDescent="0.25">
      <c r="O2050" s="52"/>
      <c r="P2050" s="52"/>
      <c r="AD2050"/>
      <c r="AE2050"/>
    </row>
    <row r="2051" spans="15:31" x14ac:dyDescent="0.25">
      <c r="O2051" s="52"/>
      <c r="P2051" s="52"/>
      <c r="AD2051"/>
      <c r="AE2051"/>
    </row>
    <row r="2052" spans="15:31" x14ac:dyDescent="0.25">
      <c r="O2052" s="52"/>
      <c r="P2052" s="52"/>
      <c r="AD2052"/>
      <c r="AE2052"/>
    </row>
    <row r="2053" spans="15:31" x14ac:dyDescent="0.25">
      <c r="O2053" s="52"/>
      <c r="P2053" s="52"/>
      <c r="AD2053"/>
      <c r="AE2053"/>
    </row>
    <row r="2054" spans="15:31" x14ac:dyDescent="0.25">
      <c r="O2054" s="52"/>
      <c r="P2054" s="52"/>
      <c r="AD2054"/>
      <c r="AE2054"/>
    </row>
    <row r="2055" spans="15:31" x14ac:dyDescent="0.25">
      <c r="O2055" s="52"/>
      <c r="P2055" s="52"/>
      <c r="AD2055"/>
      <c r="AE2055"/>
    </row>
    <row r="2056" spans="15:31" x14ac:dyDescent="0.25">
      <c r="O2056" s="52"/>
      <c r="P2056" s="52"/>
      <c r="AD2056"/>
      <c r="AE2056"/>
    </row>
    <row r="2057" spans="15:31" x14ac:dyDescent="0.25">
      <c r="O2057" s="52"/>
      <c r="P2057" s="52"/>
      <c r="AD2057"/>
      <c r="AE2057"/>
    </row>
    <row r="2058" spans="15:31" x14ac:dyDescent="0.25">
      <c r="O2058" s="52"/>
      <c r="P2058" s="52"/>
      <c r="AD2058"/>
      <c r="AE2058"/>
    </row>
    <row r="2059" spans="15:31" x14ac:dyDescent="0.25">
      <c r="O2059" s="52"/>
      <c r="P2059" s="52"/>
      <c r="AD2059"/>
      <c r="AE2059"/>
    </row>
    <row r="2060" spans="15:31" x14ac:dyDescent="0.25">
      <c r="O2060" s="52"/>
      <c r="P2060" s="52"/>
      <c r="AD2060"/>
      <c r="AE2060"/>
    </row>
    <row r="2061" spans="15:31" x14ac:dyDescent="0.25">
      <c r="O2061" s="52"/>
      <c r="P2061" s="52"/>
      <c r="AD2061"/>
      <c r="AE2061"/>
    </row>
    <row r="2062" spans="15:31" x14ac:dyDescent="0.25">
      <c r="O2062" s="52"/>
      <c r="P2062" s="52"/>
      <c r="AD2062"/>
      <c r="AE2062"/>
    </row>
    <row r="2063" spans="15:31" x14ac:dyDescent="0.25">
      <c r="O2063" s="52"/>
      <c r="P2063" s="52"/>
      <c r="AD2063"/>
      <c r="AE2063"/>
    </row>
    <row r="2064" spans="15:31" x14ac:dyDescent="0.25">
      <c r="O2064" s="52"/>
      <c r="P2064" s="52"/>
      <c r="AD2064"/>
      <c r="AE2064"/>
    </row>
    <row r="2065" spans="15:31" x14ac:dyDescent="0.25">
      <c r="O2065" s="52"/>
      <c r="P2065" s="52"/>
      <c r="AD2065"/>
      <c r="AE2065"/>
    </row>
    <row r="2066" spans="15:31" x14ac:dyDescent="0.25">
      <c r="O2066" s="52"/>
      <c r="P2066" s="52"/>
      <c r="AD2066"/>
      <c r="AE2066"/>
    </row>
    <row r="2067" spans="15:31" x14ac:dyDescent="0.25">
      <c r="O2067" s="52"/>
      <c r="P2067" s="52"/>
      <c r="AD2067"/>
      <c r="AE2067"/>
    </row>
    <row r="2068" spans="15:31" x14ac:dyDescent="0.25">
      <c r="O2068" s="52"/>
      <c r="P2068" s="52"/>
      <c r="AD2068"/>
      <c r="AE2068"/>
    </row>
    <row r="2069" spans="15:31" x14ac:dyDescent="0.25">
      <c r="O2069" s="52"/>
      <c r="P2069" s="52"/>
      <c r="AD2069"/>
      <c r="AE2069"/>
    </row>
    <row r="2070" spans="15:31" x14ac:dyDescent="0.25">
      <c r="O2070" s="52"/>
      <c r="P2070" s="52"/>
      <c r="AD2070"/>
      <c r="AE2070"/>
    </row>
    <row r="2071" spans="15:31" x14ac:dyDescent="0.25">
      <c r="O2071" s="52"/>
      <c r="P2071" s="52"/>
      <c r="AD2071"/>
      <c r="AE2071"/>
    </row>
    <row r="2072" spans="15:31" x14ac:dyDescent="0.25">
      <c r="O2072" s="52"/>
      <c r="P2072" s="52"/>
      <c r="AD2072"/>
      <c r="AE2072"/>
    </row>
    <row r="2073" spans="15:31" x14ac:dyDescent="0.25">
      <c r="O2073" s="52"/>
      <c r="P2073" s="52"/>
      <c r="AD2073"/>
      <c r="AE2073"/>
    </row>
    <row r="2074" spans="15:31" x14ac:dyDescent="0.25">
      <c r="O2074" s="52"/>
      <c r="P2074" s="52"/>
      <c r="AD2074"/>
      <c r="AE2074"/>
    </row>
    <row r="2075" spans="15:31" x14ac:dyDescent="0.25">
      <c r="O2075" s="52"/>
      <c r="P2075" s="52"/>
      <c r="AD2075"/>
      <c r="AE2075"/>
    </row>
    <row r="2076" spans="15:31" x14ac:dyDescent="0.25">
      <c r="O2076" s="52"/>
      <c r="P2076" s="52"/>
      <c r="AD2076"/>
      <c r="AE2076"/>
    </row>
    <row r="2077" spans="15:31" x14ac:dyDescent="0.25">
      <c r="O2077" s="52"/>
      <c r="P2077" s="52"/>
      <c r="AD2077"/>
      <c r="AE2077"/>
    </row>
    <row r="2078" spans="15:31" x14ac:dyDescent="0.25">
      <c r="O2078" s="52"/>
      <c r="P2078" s="52"/>
      <c r="AD2078"/>
      <c r="AE2078"/>
    </row>
    <row r="2079" spans="15:31" x14ac:dyDescent="0.25">
      <c r="O2079" s="52"/>
      <c r="P2079" s="52"/>
      <c r="AD2079"/>
      <c r="AE2079"/>
    </row>
    <row r="2080" spans="15:31" x14ac:dyDescent="0.25">
      <c r="O2080" s="52"/>
      <c r="P2080" s="52"/>
      <c r="AD2080"/>
      <c r="AE2080"/>
    </row>
    <row r="2081" spans="15:31" x14ac:dyDescent="0.25">
      <c r="O2081" s="52"/>
      <c r="P2081" s="52"/>
      <c r="AD2081"/>
      <c r="AE2081"/>
    </row>
    <row r="2082" spans="15:31" x14ac:dyDescent="0.25">
      <c r="O2082" s="52"/>
      <c r="P2082" s="52"/>
      <c r="AD2082"/>
      <c r="AE2082"/>
    </row>
    <row r="2083" spans="15:31" x14ac:dyDescent="0.25">
      <c r="O2083" s="52"/>
      <c r="P2083" s="52"/>
      <c r="AD2083"/>
      <c r="AE2083"/>
    </row>
    <row r="2084" spans="15:31" x14ac:dyDescent="0.25">
      <c r="O2084" s="52"/>
      <c r="P2084" s="52"/>
      <c r="AD2084"/>
      <c r="AE2084"/>
    </row>
    <row r="2085" spans="15:31" x14ac:dyDescent="0.25">
      <c r="O2085" s="52"/>
      <c r="P2085" s="52"/>
      <c r="AD2085"/>
      <c r="AE2085"/>
    </row>
    <row r="2086" spans="15:31" x14ac:dyDescent="0.25">
      <c r="O2086" s="52"/>
      <c r="P2086" s="52"/>
      <c r="AD2086"/>
      <c r="AE2086"/>
    </row>
    <row r="2087" spans="15:31" x14ac:dyDescent="0.25">
      <c r="O2087" s="52"/>
      <c r="P2087" s="52"/>
      <c r="AD2087"/>
      <c r="AE2087"/>
    </row>
    <row r="2088" spans="15:31" x14ac:dyDescent="0.25">
      <c r="O2088" s="52"/>
      <c r="P2088" s="52"/>
      <c r="AD2088"/>
      <c r="AE2088"/>
    </row>
    <row r="2089" spans="15:31" x14ac:dyDescent="0.25">
      <c r="O2089" s="52"/>
      <c r="P2089" s="52"/>
      <c r="AD2089"/>
      <c r="AE2089"/>
    </row>
    <row r="2090" spans="15:31" x14ac:dyDescent="0.25">
      <c r="O2090" s="52"/>
      <c r="P2090" s="52"/>
      <c r="AD2090"/>
      <c r="AE2090"/>
    </row>
    <row r="2091" spans="15:31" x14ac:dyDescent="0.25">
      <c r="O2091" s="52"/>
      <c r="P2091" s="52"/>
      <c r="AD2091"/>
      <c r="AE2091"/>
    </row>
    <row r="2092" spans="15:31" x14ac:dyDescent="0.25">
      <c r="O2092" s="52"/>
      <c r="P2092" s="52"/>
      <c r="AD2092"/>
      <c r="AE2092"/>
    </row>
    <row r="2093" spans="15:31" x14ac:dyDescent="0.25">
      <c r="O2093" s="52"/>
      <c r="P2093" s="52"/>
      <c r="AD2093"/>
      <c r="AE2093"/>
    </row>
    <row r="2094" spans="15:31" x14ac:dyDescent="0.25">
      <c r="O2094" s="52"/>
      <c r="P2094" s="52"/>
      <c r="AD2094"/>
      <c r="AE2094"/>
    </row>
    <row r="2095" spans="15:31" x14ac:dyDescent="0.25">
      <c r="O2095" s="52"/>
      <c r="P2095" s="52"/>
      <c r="AD2095"/>
      <c r="AE2095"/>
    </row>
    <row r="2096" spans="15:31" x14ac:dyDescent="0.25">
      <c r="O2096" s="52"/>
      <c r="P2096" s="52"/>
      <c r="AD2096"/>
      <c r="AE2096"/>
    </row>
    <row r="2097" spans="15:31" x14ac:dyDescent="0.25">
      <c r="O2097" s="52"/>
      <c r="P2097" s="52"/>
      <c r="AD2097"/>
      <c r="AE2097"/>
    </row>
    <row r="2098" spans="15:31" x14ac:dyDescent="0.25">
      <c r="O2098" s="52"/>
      <c r="P2098" s="52"/>
      <c r="AD2098"/>
      <c r="AE2098"/>
    </row>
    <row r="2099" spans="15:31" x14ac:dyDescent="0.25">
      <c r="O2099" s="52"/>
      <c r="P2099" s="52"/>
      <c r="AD2099"/>
      <c r="AE2099"/>
    </row>
    <row r="2100" spans="15:31" x14ac:dyDescent="0.25">
      <c r="O2100" s="52"/>
      <c r="P2100" s="52"/>
      <c r="AD2100"/>
      <c r="AE2100"/>
    </row>
    <row r="2101" spans="15:31" x14ac:dyDescent="0.25">
      <c r="O2101" s="52"/>
      <c r="P2101" s="52"/>
      <c r="AD2101"/>
      <c r="AE2101"/>
    </row>
    <row r="2102" spans="15:31" x14ac:dyDescent="0.25">
      <c r="O2102" s="52"/>
      <c r="P2102" s="52"/>
      <c r="AD2102"/>
      <c r="AE2102"/>
    </row>
    <row r="2103" spans="15:31" x14ac:dyDescent="0.25">
      <c r="O2103" s="52"/>
      <c r="P2103" s="52"/>
      <c r="AD2103"/>
      <c r="AE2103"/>
    </row>
    <row r="2104" spans="15:31" x14ac:dyDescent="0.25">
      <c r="O2104" s="52"/>
      <c r="P2104" s="52"/>
      <c r="AD2104"/>
      <c r="AE2104"/>
    </row>
    <row r="2105" spans="15:31" x14ac:dyDescent="0.25">
      <c r="O2105" s="52"/>
      <c r="P2105" s="52"/>
      <c r="AD2105"/>
      <c r="AE2105"/>
    </row>
    <row r="2106" spans="15:31" x14ac:dyDescent="0.25">
      <c r="O2106" s="52"/>
      <c r="P2106" s="52"/>
      <c r="AD2106"/>
      <c r="AE2106"/>
    </row>
    <row r="2107" spans="15:31" x14ac:dyDescent="0.25">
      <c r="O2107" s="52"/>
      <c r="P2107" s="52"/>
      <c r="AD2107"/>
      <c r="AE2107"/>
    </row>
    <row r="2108" spans="15:31" x14ac:dyDescent="0.25">
      <c r="O2108" s="52"/>
      <c r="P2108" s="52"/>
      <c r="AD2108"/>
      <c r="AE2108"/>
    </row>
    <row r="2109" spans="15:31" x14ac:dyDescent="0.25">
      <c r="O2109" s="52"/>
      <c r="P2109" s="52"/>
      <c r="AD2109"/>
      <c r="AE2109"/>
    </row>
    <row r="2110" spans="15:31" x14ac:dyDescent="0.25">
      <c r="O2110" s="52"/>
      <c r="P2110" s="52"/>
      <c r="AD2110"/>
      <c r="AE2110"/>
    </row>
    <row r="2111" spans="15:31" x14ac:dyDescent="0.25">
      <c r="O2111" s="52"/>
      <c r="P2111" s="52"/>
      <c r="AD2111"/>
      <c r="AE2111"/>
    </row>
    <row r="2112" spans="15:31" x14ac:dyDescent="0.25">
      <c r="O2112" s="52"/>
      <c r="P2112" s="52"/>
      <c r="AD2112"/>
      <c r="AE2112"/>
    </row>
    <row r="2113" spans="15:31" x14ac:dyDescent="0.25">
      <c r="O2113" s="52"/>
      <c r="P2113" s="52"/>
      <c r="AD2113"/>
      <c r="AE2113"/>
    </row>
    <row r="2114" spans="15:31" x14ac:dyDescent="0.25">
      <c r="O2114" s="52"/>
      <c r="P2114" s="52"/>
      <c r="AD2114"/>
      <c r="AE2114"/>
    </row>
    <row r="2115" spans="15:31" x14ac:dyDescent="0.25">
      <c r="O2115" s="52"/>
      <c r="P2115" s="52"/>
      <c r="AD2115"/>
      <c r="AE2115"/>
    </row>
    <row r="2116" spans="15:31" x14ac:dyDescent="0.25">
      <c r="O2116" s="52"/>
      <c r="P2116" s="52"/>
      <c r="AD2116"/>
      <c r="AE2116"/>
    </row>
    <row r="2117" spans="15:31" x14ac:dyDescent="0.25">
      <c r="O2117" s="52"/>
      <c r="P2117" s="52"/>
      <c r="AD2117"/>
      <c r="AE2117"/>
    </row>
    <row r="2118" spans="15:31" x14ac:dyDescent="0.25">
      <c r="O2118" s="52"/>
      <c r="P2118" s="52"/>
      <c r="AD2118"/>
      <c r="AE2118"/>
    </row>
    <row r="2119" spans="15:31" x14ac:dyDescent="0.25">
      <c r="O2119" s="52"/>
      <c r="P2119" s="52"/>
      <c r="AD2119"/>
      <c r="AE2119"/>
    </row>
    <row r="2120" spans="15:31" x14ac:dyDescent="0.25">
      <c r="O2120" s="52"/>
      <c r="P2120" s="52"/>
      <c r="AD2120"/>
      <c r="AE2120"/>
    </row>
    <row r="2121" spans="15:31" x14ac:dyDescent="0.25">
      <c r="O2121" s="52"/>
      <c r="P2121" s="52"/>
      <c r="AD2121"/>
      <c r="AE2121"/>
    </row>
    <row r="2122" spans="15:31" x14ac:dyDescent="0.25">
      <c r="O2122" s="52"/>
      <c r="P2122" s="52"/>
      <c r="AD2122"/>
      <c r="AE2122"/>
    </row>
    <row r="2123" spans="15:31" x14ac:dyDescent="0.25">
      <c r="O2123" s="52"/>
      <c r="P2123" s="52"/>
      <c r="AD2123"/>
      <c r="AE2123"/>
    </row>
    <row r="2124" spans="15:31" x14ac:dyDescent="0.25">
      <c r="O2124" s="52"/>
      <c r="P2124" s="52"/>
      <c r="AD2124"/>
      <c r="AE2124"/>
    </row>
    <row r="2125" spans="15:31" x14ac:dyDescent="0.25">
      <c r="O2125" s="52"/>
      <c r="P2125" s="52"/>
      <c r="AD2125"/>
      <c r="AE2125"/>
    </row>
    <row r="2126" spans="15:31" x14ac:dyDescent="0.25">
      <c r="O2126" s="52"/>
      <c r="P2126" s="52"/>
      <c r="AD2126"/>
      <c r="AE2126"/>
    </row>
    <row r="2127" spans="15:31" x14ac:dyDescent="0.25">
      <c r="O2127" s="52"/>
      <c r="P2127" s="52"/>
      <c r="AD2127"/>
      <c r="AE2127"/>
    </row>
    <row r="2128" spans="15:31" x14ac:dyDescent="0.25">
      <c r="O2128" s="52"/>
      <c r="P2128" s="52"/>
      <c r="AD2128"/>
      <c r="AE2128"/>
    </row>
    <row r="2129" spans="15:31" x14ac:dyDescent="0.25">
      <c r="O2129" s="52"/>
      <c r="P2129" s="52"/>
      <c r="AD2129"/>
      <c r="AE2129"/>
    </row>
    <row r="2130" spans="15:31" x14ac:dyDescent="0.25">
      <c r="O2130" s="52"/>
      <c r="P2130" s="52"/>
      <c r="AD2130"/>
      <c r="AE2130"/>
    </row>
    <row r="2131" spans="15:31" x14ac:dyDescent="0.25">
      <c r="O2131" s="52"/>
      <c r="P2131" s="52"/>
      <c r="AD2131"/>
      <c r="AE2131"/>
    </row>
    <row r="2132" spans="15:31" x14ac:dyDescent="0.25">
      <c r="O2132" s="52"/>
      <c r="P2132" s="52"/>
      <c r="AD2132"/>
      <c r="AE2132"/>
    </row>
    <row r="2133" spans="15:31" x14ac:dyDescent="0.25">
      <c r="O2133" s="52"/>
      <c r="P2133" s="52"/>
      <c r="AD2133"/>
      <c r="AE2133"/>
    </row>
    <row r="2134" spans="15:31" x14ac:dyDescent="0.25">
      <c r="O2134" s="52"/>
      <c r="P2134" s="52"/>
      <c r="AD2134"/>
      <c r="AE2134"/>
    </row>
    <row r="2135" spans="15:31" x14ac:dyDescent="0.25">
      <c r="O2135" s="52"/>
      <c r="P2135" s="52"/>
      <c r="AD2135"/>
      <c r="AE2135"/>
    </row>
    <row r="2136" spans="15:31" x14ac:dyDescent="0.25">
      <c r="O2136" s="52"/>
      <c r="P2136" s="52"/>
      <c r="AD2136"/>
      <c r="AE2136"/>
    </row>
    <row r="2137" spans="15:31" x14ac:dyDescent="0.25">
      <c r="O2137" s="52"/>
      <c r="P2137" s="52"/>
      <c r="AD2137"/>
      <c r="AE2137"/>
    </row>
    <row r="2138" spans="15:31" x14ac:dyDescent="0.25">
      <c r="O2138" s="52"/>
      <c r="P2138" s="52"/>
      <c r="AD2138"/>
      <c r="AE2138"/>
    </row>
    <row r="2139" spans="15:31" x14ac:dyDescent="0.25">
      <c r="O2139" s="52"/>
      <c r="P2139" s="52"/>
      <c r="AD2139"/>
      <c r="AE2139"/>
    </row>
    <row r="2140" spans="15:31" x14ac:dyDescent="0.25">
      <c r="O2140" s="52"/>
      <c r="P2140" s="52"/>
      <c r="AD2140"/>
      <c r="AE2140"/>
    </row>
    <row r="2141" spans="15:31" x14ac:dyDescent="0.25">
      <c r="O2141" s="52"/>
      <c r="P2141" s="52"/>
      <c r="AD2141"/>
      <c r="AE2141"/>
    </row>
    <row r="2142" spans="15:31" x14ac:dyDescent="0.25">
      <c r="O2142" s="52"/>
      <c r="P2142" s="52"/>
      <c r="AD2142"/>
      <c r="AE2142"/>
    </row>
    <row r="2143" spans="15:31" x14ac:dyDescent="0.25">
      <c r="O2143" s="52"/>
      <c r="P2143" s="52"/>
      <c r="AD2143"/>
      <c r="AE2143"/>
    </row>
    <row r="2144" spans="15:31" x14ac:dyDescent="0.25">
      <c r="O2144" s="52"/>
      <c r="P2144" s="52"/>
      <c r="AD2144"/>
      <c r="AE2144"/>
    </row>
    <row r="2145" spans="15:31" x14ac:dyDescent="0.25">
      <c r="O2145" s="52"/>
      <c r="P2145" s="52"/>
      <c r="AD2145"/>
      <c r="AE2145"/>
    </row>
    <row r="2146" spans="15:31" x14ac:dyDescent="0.25">
      <c r="O2146" s="52"/>
      <c r="P2146" s="52"/>
      <c r="AD2146"/>
      <c r="AE2146"/>
    </row>
    <row r="2147" spans="15:31" x14ac:dyDescent="0.25">
      <c r="O2147" s="52"/>
      <c r="P2147" s="52"/>
      <c r="AD2147"/>
      <c r="AE2147"/>
    </row>
    <row r="2148" spans="15:31" x14ac:dyDescent="0.25">
      <c r="O2148" s="52"/>
      <c r="P2148" s="52"/>
      <c r="AD2148"/>
      <c r="AE2148"/>
    </row>
    <row r="2149" spans="15:31" x14ac:dyDescent="0.25">
      <c r="O2149" s="52"/>
      <c r="P2149" s="52"/>
      <c r="AD2149"/>
      <c r="AE2149"/>
    </row>
    <row r="2150" spans="15:31" x14ac:dyDescent="0.25">
      <c r="O2150" s="52"/>
      <c r="P2150" s="52"/>
      <c r="AD2150"/>
      <c r="AE2150"/>
    </row>
    <row r="2151" spans="15:31" x14ac:dyDescent="0.25">
      <c r="O2151" s="52"/>
      <c r="P2151" s="52"/>
      <c r="AD2151"/>
      <c r="AE2151"/>
    </row>
    <row r="2152" spans="15:31" x14ac:dyDescent="0.25">
      <c r="O2152" s="52"/>
      <c r="P2152" s="52"/>
      <c r="AD2152"/>
      <c r="AE2152"/>
    </row>
    <row r="2153" spans="15:31" x14ac:dyDescent="0.25">
      <c r="O2153" s="52"/>
      <c r="P2153" s="52"/>
      <c r="AD2153"/>
      <c r="AE2153"/>
    </row>
    <row r="2154" spans="15:31" x14ac:dyDescent="0.25">
      <c r="O2154" s="52"/>
      <c r="P2154" s="52"/>
      <c r="AD2154"/>
      <c r="AE2154"/>
    </row>
    <row r="2155" spans="15:31" x14ac:dyDescent="0.25">
      <c r="O2155" s="52"/>
      <c r="P2155" s="52"/>
      <c r="AD2155"/>
      <c r="AE2155"/>
    </row>
    <row r="2156" spans="15:31" x14ac:dyDescent="0.25">
      <c r="O2156" s="52"/>
      <c r="P2156" s="52"/>
      <c r="AD2156"/>
      <c r="AE2156"/>
    </row>
    <row r="2157" spans="15:31" x14ac:dyDescent="0.25">
      <c r="O2157" s="52"/>
      <c r="P2157" s="52"/>
      <c r="AD2157"/>
      <c r="AE2157"/>
    </row>
    <row r="2158" spans="15:31" x14ac:dyDescent="0.25">
      <c r="O2158" s="52"/>
      <c r="P2158" s="52"/>
      <c r="AD2158"/>
      <c r="AE2158"/>
    </row>
    <row r="2159" spans="15:31" x14ac:dyDescent="0.25">
      <c r="O2159" s="52"/>
      <c r="P2159" s="52"/>
      <c r="AD2159"/>
      <c r="AE2159"/>
    </row>
    <row r="2160" spans="15:31" x14ac:dyDescent="0.25">
      <c r="O2160" s="52"/>
      <c r="P2160" s="52"/>
      <c r="AD2160"/>
      <c r="AE2160"/>
    </row>
    <row r="2161" spans="15:31" x14ac:dyDescent="0.25">
      <c r="O2161" s="52"/>
      <c r="P2161" s="52"/>
      <c r="AD2161"/>
      <c r="AE2161"/>
    </row>
    <row r="2162" spans="15:31" x14ac:dyDescent="0.25">
      <c r="O2162" s="52"/>
      <c r="P2162" s="52"/>
      <c r="AD2162"/>
      <c r="AE2162"/>
    </row>
    <row r="2163" spans="15:31" x14ac:dyDescent="0.25">
      <c r="O2163" s="52"/>
      <c r="P2163" s="52"/>
      <c r="AD2163"/>
      <c r="AE2163"/>
    </row>
    <row r="2164" spans="15:31" x14ac:dyDescent="0.25">
      <c r="O2164" s="52"/>
      <c r="P2164" s="52"/>
      <c r="AD2164"/>
      <c r="AE2164"/>
    </row>
    <row r="2165" spans="15:31" x14ac:dyDescent="0.25">
      <c r="O2165" s="52"/>
      <c r="P2165" s="52"/>
      <c r="AD2165"/>
      <c r="AE2165"/>
    </row>
    <row r="2166" spans="15:31" x14ac:dyDescent="0.25">
      <c r="O2166" s="52"/>
      <c r="P2166" s="52"/>
      <c r="AD2166"/>
      <c r="AE2166"/>
    </row>
    <row r="2167" spans="15:31" x14ac:dyDescent="0.25">
      <c r="O2167" s="52"/>
      <c r="P2167" s="52"/>
      <c r="AD2167"/>
      <c r="AE2167"/>
    </row>
    <row r="2168" spans="15:31" x14ac:dyDescent="0.25">
      <c r="O2168" s="52"/>
      <c r="P2168" s="52"/>
      <c r="AD2168"/>
      <c r="AE2168"/>
    </row>
    <row r="2169" spans="15:31" x14ac:dyDescent="0.25">
      <c r="O2169" s="52"/>
      <c r="P2169" s="52"/>
      <c r="AD2169"/>
      <c r="AE2169"/>
    </row>
    <row r="2170" spans="15:31" x14ac:dyDescent="0.25">
      <c r="O2170" s="52"/>
      <c r="P2170" s="52"/>
      <c r="AD2170"/>
      <c r="AE2170"/>
    </row>
    <row r="2171" spans="15:31" x14ac:dyDescent="0.25">
      <c r="O2171" s="52"/>
      <c r="P2171" s="52"/>
      <c r="AD2171"/>
      <c r="AE2171"/>
    </row>
    <row r="2172" spans="15:31" x14ac:dyDescent="0.25">
      <c r="O2172" s="52"/>
      <c r="P2172" s="52"/>
      <c r="AD2172"/>
      <c r="AE2172"/>
    </row>
    <row r="2173" spans="15:31" x14ac:dyDescent="0.25">
      <c r="O2173" s="52"/>
      <c r="P2173" s="52"/>
      <c r="AD2173"/>
      <c r="AE2173"/>
    </row>
    <row r="2174" spans="15:31" x14ac:dyDescent="0.25">
      <c r="O2174" s="52"/>
      <c r="P2174" s="52"/>
      <c r="AD2174"/>
      <c r="AE2174"/>
    </row>
    <row r="2175" spans="15:31" x14ac:dyDescent="0.25">
      <c r="O2175" s="52"/>
      <c r="P2175" s="52"/>
      <c r="AD2175"/>
      <c r="AE2175"/>
    </row>
    <row r="2176" spans="15:31" x14ac:dyDescent="0.25">
      <c r="O2176" s="52"/>
      <c r="P2176" s="52"/>
      <c r="AD2176"/>
      <c r="AE2176"/>
    </row>
    <row r="2177" spans="15:31" x14ac:dyDescent="0.25">
      <c r="O2177" s="52"/>
      <c r="P2177" s="52"/>
      <c r="AD2177"/>
      <c r="AE2177"/>
    </row>
    <row r="2178" spans="15:31" x14ac:dyDescent="0.25">
      <c r="O2178" s="52"/>
      <c r="P2178" s="52"/>
      <c r="AD2178"/>
      <c r="AE2178"/>
    </row>
    <row r="2179" spans="15:31" x14ac:dyDescent="0.25">
      <c r="O2179" s="52"/>
      <c r="P2179" s="52"/>
      <c r="AD2179"/>
      <c r="AE2179"/>
    </row>
    <row r="2180" spans="15:31" x14ac:dyDescent="0.25">
      <c r="O2180" s="52"/>
      <c r="P2180" s="52"/>
      <c r="AD2180"/>
      <c r="AE2180"/>
    </row>
    <row r="2181" spans="15:31" x14ac:dyDescent="0.25">
      <c r="O2181" s="52"/>
      <c r="P2181" s="52"/>
      <c r="AD2181"/>
      <c r="AE2181"/>
    </row>
    <row r="2182" spans="15:31" x14ac:dyDescent="0.25">
      <c r="O2182" s="52"/>
      <c r="P2182" s="52"/>
      <c r="AD2182"/>
      <c r="AE2182"/>
    </row>
    <row r="2183" spans="15:31" x14ac:dyDescent="0.25">
      <c r="O2183" s="52"/>
      <c r="P2183" s="52"/>
      <c r="AD2183"/>
      <c r="AE2183"/>
    </row>
    <row r="2184" spans="15:31" x14ac:dyDescent="0.25">
      <c r="O2184" s="52"/>
      <c r="P2184" s="52"/>
      <c r="AD2184"/>
      <c r="AE2184"/>
    </row>
    <row r="2185" spans="15:31" x14ac:dyDescent="0.25">
      <c r="O2185" s="52"/>
      <c r="P2185" s="52"/>
      <c r="AD2185"/>
      <c r="AE2185"/>
    </row>
    <row r="2186" spans="15:31" x14ac:dyDescent="0.25">
      <c r="O2186" s="52"/>
      <c r="P2186" s="52"/>
      <c r="AD2186"/>
      <c r="AE2186"/>
    </row>
    <row r="2187" spans="15:31" x14ac:dyDescent="0.25">
      <c r="O2187" s="52"/>
      <c r="P2187" s="52"/>
      <c r="AD2187"/>
      <c r="AE2187"/>
    </row>
    <row r="2188" spans="15:31" x14ac:dyDescent="0.25">
      <c r="O2188" s="52"/>
      <c r="P2188" s="52"/>
      <c r="AD2188"/>
      <c r="AE2188"/>
    </row>
    <row r="2189" spans="15:31" x14ac:dyDescent="0.25">
      <c r="O2189" s="52"/>
      <c r="P2189" s="52"/>
      <c r="AD2189"/>
      <c r="AE2189"/>
    </row>
    <row r="2190" spans="15:31" x14ac:dyDescent="0.25">
      <c r="O2190" s="52"/>
      <c r="P2190" s="52"/>
      <c r="AD2190"/>
      <c r="AE2190"/>
    </row>
    <row r="2191" spans="15:31" x14ac:dyDescent="0.25">
      <c r="O2191" s="52"/>
      <c r="P2191" s="52"/>
      <c r="AD2191"/>
      <c r="AE2191"/>
    </row>
    <row r="2192" spans="15:31" x14ac:dyDescent="0.25">
      <c r="O2192" s="52"/>
      <c r="P2192" s="52"/>
      <c r="AD2192"/>
      <c r="AE2192"/>
    </row>
    <row r="2193" spans="15:31" x14ac:dyDescent="0.25">
      <c r="O2193" s="52"/>
      <c r="P2193" s="52"/>
      <c r="AD2193"/>
      <c r="AE2193"/>
    </row>
    <row r="2194" spans="15:31" x14ac:dyDescent="0.25">
      <c r="O2194" s="52"/>
      <c r="P2194" s="52"/>
      <c r="AD2194"/>
      <c r="AE2194"/>
    </row>
    <row r="2195" spans="15:31" x14ac:dyDescent="0.25">
      <c r="O2195" s="52"/>
      <c r="P2195" s="52"/>
      <c r="AD2195"/>
      <c r="AE2195"/>
    </row>
    <row r="2196" spans="15:31" x14ac:dyDescent="0.25">
      <c r="O2196" s="52"/>
      <c r="P2196" s="52"/>
      <c r="AD2196"/>
      <c r="AE2196"/>
    </row>
    <row r="2197" spans="15:31" x14ac:dyDescent="0.25">
      <c r="O2197" s="52"/>
      <c r="P2197" s="52"/>
      <c r="AD2197"/>
      <c r="AE2197"/>
    </row>
    <row r="2198" spans="15:31" x14ac:dyDescent="0.25">
      <c r="O2198" s="52"/>
      <c r="P2198" s="52"/>
      <c r="AD2198"/>
      <c r="AE2198"/>
    </row>
    <row r="2199" spans="15:31" x14ac:dyDescent="0.25">
      <c r="O2199" s="52"/>
      <c r="P2199" s="52"/>
      <c r="AD2199"/>
      <c r="AE2199"/>
    </row>
    <row r="2200" spans="15:31" x14ac:dyDescent="0.25">
      <c r="O2200" s="52"/>
      <c r="P2200" s="52"/>
      <c r="AD2200"/>
      <c r="AE2200"/>
    </row>
    <row r="2201" spans="15:31" x14ac:dyDescent="0.25">
      <c r="O2201" s="52"/>
      <c r="P2201" s="52"/>
      <c r="AD2201"/>
      <c r="AE2201"/>
    </row>
    <row r="2202" spans="15:31" x14ac:dyDescent="0.25">
      <c r="O2202" s="52"/>
      <c r="P2202" s="52"/>
      <c r="AD2202"/>
      <c r="AE2202"/>
    </row>
    <row r="2203" spans="15:31" x14ac:dyDescent="0.25">
      <c r="O2203" s="52"/>
      <c r="P2203" s="52"/>
      <c r="AD2203"/>
      <c r="AE2203"/>
    </row>
    <row r="2204" spans="15:31" x14ac:dyDescent="0.25">
      <c r="O2204" s="52"/>
      <c r="P2204" s="52"/>
      <c r="AD2204"/>
      <c r="AE2204"/>
    </row>
    <row r="2205" spans="15:31" x14ac:dyDescent="0.25">
      <c r="O2205" s="52"/>
      <c r="P2205" s="52"/>
      <c r="AD2205"/>
      <c r="AE2205"/>
    </row>
    <row r="2206" spans="15:31" x14ac:dyDescent="0.25">
      <c r="O2206" s="52"/>
      <c r="P2206" s="52"/>
      <c r="AD2206"/>
      <c r="AE2206"/>
    </row>
    <row r="2207" spans="15:31" x14ac:dyDescent="0.25">
      <c r="O2207" s="52"/>
      <c r="P2207" s="52"/>
      <c r="AD2207"/>
      <c r="AE2207"/>
    </row>
    <row r="2208" spans="15:31" x14ac:dyDescent="0.25">
      <c r="O2208" s="52"/>
      <c r="P2208" s="52"/>
      <c r="AD2208"/>
      <c r="AE2208"/>
    </row>
    <row r="2209" spans="15:31" x14ac:dyDescent="0.25">
      <c r="O2209" s="52"/>
      <c r="P2209" s="52"/>
      <c r="AD2209"/>
      <c r="AE2209"/>
    </row>
    <row r="2210" spans="15:31" x14ac:dyDescent="0.25">
      <c r="O2210" s="52"/>
      <c r="P2210" s="52"/>
      <c r="AD2210"/>
      <c r="AE2210"/>
    </row>
    <row r="2211" spans="15:31" x14ac:dyDescent="0.25">
      <c r="O2211" s="52"/>
      <c r="P2211" s="52"/>
      <c r="AD2211"/>
      <c r="AE2211"/>
    </row>
    <row r="2212" spans="15:31" x14ac:dyDescent="0.25">
      <c r="O2212" s="52"/>
      <c r="P2212" s="52"/>
      <c r="AD2212"/>
      <c r="AE2212"/>
    </row>
    <row r="2213" spans="15:31" x14ac:dyDescent="0.25">
      <c r="O2213" s="52"/>
      <c r="P2213" s="52"/>
      <c r="AD2213"/>
      <c r="AE2213"/>
    </row>
    <row r="2214" spans="15:31" x14ac:dyDescent="0.25">
      <c r="O2214" s="52"/>
      <c r="P2214" s="52"/>
      <c r="AD2214"/>
      <c r="AE2214"/>
    </row>
    <row r="2215" spans="15:31" x14ac:dyDescent="0.25">
      <c r="O2215" s="52"/>
      <c r="P2215" s="52"/>
      <c r="AD2215"/>
      <c r="AE2215"/>
    </row>
    <row r="2216" spans="15:31" x14ac:dyDescent="0.25">
      <c r="O2216" s="52"/>
      <c r="P2216" s="52"/>
      <c r="AD2216"/>
      <c r="AE2216"/>
    </row>
    <row r="2217" spans="15:31" x14ac:dyDescent="0.25">
      <c r="O2217" s="52"/>
      <c r="P2217" s="52"/>
      <c r="AD2217"/>
      <c r="AE2217"/>
    </row>
    <row r="2218" spans="15:31" x14ac:dyDescent="0.25">
      <c r="O2218" s="52"/>
      <c r="P2218" s="52"/>
      <c r="AD2218"/>
      <c r="AE2218"/>
    </row>
    <row r="2219" spans="15:31" x14ac:dyDescent="0.25">
      <c r="O2219" s="52"/>
      <c r="P2219" s="52"/>
      <c r="AD2219"/>
      <c r="AE2219"/>
    </row>
    <row r="2220" spans="15:31" x14ac:dyDescent="0.25">
      <c r="O2220" s="52"/>
      <c r="P2220" s="52"/>
      <c r="AD2220"/>
      <c r="AE2220"/>
    </row>
    <row r="2221" spans="15:31" x14ac:dyDescent="0.25">
      <c r="O2221" s="52"/>
      <c r="P2221" s="52"/>
      <c r="AD2221"/>
      <c r="AE2221"/>
    </row>
    <row r="2222" spans="15:31" x14ac:dyDescent="0.25">
      <c r="O2222" s="52"/>
      <c r="P2222" s="52"/>
      <c r="AD2222"/>
      <c r="AE2222"/>
    </row>
    <row r="2223" spans="15:31" x14ac:dyDescent="0.25">
      <c r="O2223" s="52"/>
      <c r="P2223" s="52"/>
      <c r="AD2223"/>
      <c r="AE2223"/>
    </row>
    <row r="2224" spans="15:31" x14ac:dyDescent="0.25">
      <c r="O2224" s="52"/>
      <c r="P2224" s="52"/>
      <c r="AD2224"/>
      <c r="AE2224"/>
    </row>
    <row r="2225" spans="15:31" x14ac:dyDescent="0.25">
      <c r="O2225" s="52"/>
      <c r="P2225" s="52"/>
      <c r="AD2225"/>
      <c r="AE2225"/>
    </row>
    <row r="2226" spans="15:31" x14ac:dyDescent="0.25">
      <c r="O2226" s="52"/>
      <c r="P2226" s="52"/>
      <c r="AD2226"/>
      <c r="AE2226"/>
    </row>
    <row r="2227" spans="15:31" x14ac:dyDescent="0.25">
      <c r="O2227" s="52"/>
      <c r="P2227" s="52"/>
      <c r="AD2227"/>
      <c r="AE2227"/>
    </row>
    <row r="2228" spans="15:31" x14ac:dyDescent="0.25">
      <c r="O2228" s="52"/>
      <c r="P2228" s="52"/>
      <c r="AD2228"/>
      <c r="AE2228"/>
    </row>
    <row r="2229" spans="15:31" x14ac:dyDescent="0.25">
      <c r="O2229" s="52"/>
      <c r="P2229" s="52"/>
      <c r="AD2229"/>
      <c r="AE2229"/>
    </row>
    <row r="2230" spans="15:31" x14ac:dyDescent="0.25">
      <c r="O2230" s="52"/>
      <c r="P2230" s="52"/>
      <c r="AD2230"/>
      <c r="AE2230"/>
    </row>
    <row r="2231" spans="15:31" x14ac:dyDescent="0.25">
      <c r="O2231" s="52"/>
      <c r="P2231" s="52"/>
      <c r="AD2231"/>
      <c r="AE2231"/>
    </row>
    <row r="2232" spans="15:31" x14ac:dyDescent="0.25">
      <c r="O2232" s="52"/>
      <c r="P2232" s="52"/>
      <c r="AD2232"/>
      <c r="AE2232"/>
    </row>
    <row r="2233" spans="15:31" x14ac:dyDescent="0.25">
      <c r="O2233" s="52"/>
      <c r="P2233" s="52"/>
      <c r="AD2233"/>
      <c r="AE2233"/>
    </row>
    <row r="2234" spans="15:31" x14ac:dyDescent="0.25">
      <c r="O2234" s="52"/>
      <c r="P2234" s="52"/>
      <c r="AD2234"/>
      <c r="AE2234"/>
    </row>
    <row r="2235" spans="15:31" x14ac:dyDescent="0.25">
      <c r="O2235" s="52"/>
      <c r="P2235" s="52"/>
      <c r="AD2235"/>
      <c r="AE2235"/>
    </row>
    <row r="2236" spans="15:31" x14ac:dyDescent="0.25">
      <c r="Y2236" s="52"/>
      <c r="Z2236" s="52"/>
      <c r="AD2236"/>
      <c r="AE2236"/>
    </row>
    <row r="2237" spans="15:31" x14ac:dyDescent="0.25">
      <c r="Y2237" s="52"/>
      <c r="Z2237" s="52"/>
      <c r="AD2237"/>
      <c r="AE2237"/>
    </row>
    <row r="2238" spans="15:31" x14ac:dyDescent="0.25">
      <c r="AB2238" s="52"/>
      <c r="AC2238" s="52"/>
      <c r="AD2238"/>
      <c r="AE2238"/>
    </row>
    <row r="2239" spans="15:31" x14ac:dyDescent="0.25">
      <c r="AB2239" s="52"/>
      <c r="AC2239" s="52"/>
      <c r="AD2239"/>
      <c r="AE2239"/>
    </row>
    <row r="2240" spans="15:31" x14ac:dyDescent="0.25">
      <c r="AB2240" s="52"/>
      <c r="AC2240" s="52"/>
      <c r="AD2240"/>
      <c r="AE2240"/>
    </row>
    <row r="2241" spans="28:31" x14ac:dyDescent="0.25">
      <c r="AB2241" s="52"/>
      <c r="AC2241" s="52"/>
      <c r="AD2241"/>
      <c r="AE2241"/>
    </row>
    <row r="2242" spans="28:31" x14ac:dyDescent="0.25">
      <c r="AB2242" s="52"/>
      <c r="AC2242" s="52"/>
      <c r="AD2242"/>
      <c r="AE2242"/>
    </row>
    <row r="2243" spans="28:31" x14ac:dyDescent="0.25">
      <c r="AB2243" s="52"/>
      <c r="AC2243" s="52"/>
      <c r="AD2243"/>
      <c r="AE2243"/>
    </row>
    <row r="2244" spans="28:31" x14ac:dyDescent="0.25">
      <c r="AB2244" s="52"/>
      <c r="AC2244" s="52"/>
      <c r="AD2244"/>
      <c r="AE2244"/>
    </row>
    <row r="2245" spans="28:31" x14ac:dyDescent="0.25">
      <c r="AB2245" s="52"/>
      <c r="AC2245" s="52"/>
      <c r="AD2245"/>
      <c r="AE2245"/>
    </row>
    <row r="2246" spans="28:31" x14ac:dyDescent="0.25">
      <c r="AB2246" s="52"/>
      <c r="AC2246" s="52"/>
      <c r="AD2246"/>
      <c r="AE2246"/>
    </row>
    <row r="2247" spans="28:31" x14ac:dyDescent="0.25">
      <c r="AB2247" s="52"/>
      <c r="AC2247" s="52"/>
      <c r="AD2247"/>
      <c r="AE2247"/>
    </row>
    <row r="2248" spans="28:31" x14ac:dyDescent="0.25">
      <c r="AB2248" s="52"/>
      <c r="AC2248" s="52"/>
      <c r="AD2248"/>
      <c r="AE2248"/>
    </row>
    <row r="2249" spans="28:31" x14ac:dyDescent="0.25">
      <c r="AB2249" s="52"/>
      <c r="AC2249" s="52"/>
      <c r="AD2249"/>
      <c r="AE2249"/>
    </row>
    <row r="2250" spans="28:31" x14ac:dyDescent="0.25">
      <c r="AB2250" s="52"/>
      <c r="AC2250" s="52"/>
      <c r="AD2250"/>
      <c r="AE2250"/>
    </row>
    <row r="2251" spans="28:31" x14ac:dyDescent="0.25">
      <c r="AB2251" s="52"/>
      <c r="AC2251" s="52"/>
      <c r="AD2251"/>
      <c r="AE2251"/>
    </row>
    <row r="2252" spans="28:31" x14ac:dyDescent="0.25">
      <c r="AB2252" s="52"/>
      <c r="AC2252" s="52"/>
      <c r="AD2252"/>
      <c r="AE2252"/>
    </row>
    <row r="2253" spans="28:31" x14ac:dyDescent="0.25">
      <c r="AB2253" s="52"/>
      <c r="AC2253" s="52"/>
      <c r="AD2253"/>
      <c r="AE2253"/>
    </row>
    <row r="2254" spans="28:31" x14ac:dyDescent="0.25">
      <c r="AB2254" s="52"/>
      <c r="AC2254" s="52"/>
      <c r="AD2254"/>
      <c r="AE2254"/>
    </row>
    <row r="2255" spans="28:31" x14ac:dyDescent="0.25">
      <c r="AB2255" s="52"/>
      <c r="AC2255" s="52"/>
      <c r="AD2255"/>
      <c r="AE2255"/>
    </row>
    <row r="2256" spans="28:31" x14ac:dyDescent="0.25">
      <c r="AB2256" s="52"/>
      <c r="AC2256" s="52"/>
      <c r="AD2256"/>
      <c r="AE2256"/>
    </row>
    <row r="2257" spans="28:31" x14ac:dyDescent="0.25">
      <c r="AB2257" s="52"/>
      <c r="AC2257" s="52"/>
      <c r="AD2257"/>
      <c r="AE2257"/>
    </row>
    <row r="2258" spans="28:31" x14ac:dyDescent="0.25">
      <c r="AB2258" s="52"/>
      <c r="AC2258" s="52"/>
      <c r="AD2258"/>
      <c r="AE2258"/>
    </row>
    <row r="2259" spans="28:31" x14ac:dyDescent="0.25">
      <c r="AB2259" s="52"/>
      <c r="AC2259" s="52"/>
      <c r="AD2259"/>
      <c r="AE2259"/>
    </row>
    <row r="2260" spans="28:31" x14ac:dyDescent="0.25">
      <c r="AB2260" s="52"/>
      <c r="AC2260" s="52"/>
      <c r="AD2260"/>
      <c r="AE2260"/>
    </row>
    <row r="2261" spans="28:31" x14ac:dyDescent="0.25">
      <c r="AB2261" s="52"/>
      <c r="AC2261" s="52"/>
      <c r="AD2261"/>
      <c r="AE2261"/>
    </row>
    <row r="2262" spans="28:31" x14ac:dyDescent="0.25">
      <c r="AB2262" s="52"/>
      <c r="AC2262" s="52"/>
      <c r="AD2262"/>
      <c r="AE2262"/>
    </row>
    <row r="2263" spans="28:31" x14ac:dyDescent="0.25">
      <c r="AB2263" s="52"/>
      <c r="AC2263" s="52"/>
      <c r="AD2263"/>
      <c r="AE2263"/>
    </row>
    <row r="2264" spans="28:31" x14ac:dyDescent="0.25">
      <c r="AB2264" s="52"/>
      <c r="AC2264" s="52"/>
      <c r="AD2264"/>
      <c r="AE2264"/>
    </row>
    <row r="2265" spans="28:31" x14ac:dyDescent="0.25">
      <c r="AB2265" s="52"/>
      <c r="AC2265" s="52"/>
      <c r="AD2265"/>
      <c r="AE2265"/>
    </row>
    <row r="2266" spans="28:31" x14ac:dyDescent="0.25">
      <c r="AB2266" s="52"/>
      <c r="AC2266" s="52"/>
      <c r="AD2266"/>
      <c r="AE2266"/>
    </row>
    <row r="2267" spans="28:31" x14ac:dyDescent="0.25">
      <c r="AB2267" s="52"/>
      <c r="AC2267" s="52"/>
      <c r="AD2267"/>
      <c r="AE2267"/>
    </row>
    <row r="2268" spans="28:31" x14ac:dyDescent="0.25">
      <c r="AB2268" s="52"/>
      <c r="AC2268" s="52"/>
      <c r="AD2268"/>
      <c r="AE2268"/>
    </row>
    <row r="2269" spans="28:31" x14ac:dyDescent="0.25">
      <c r="AB2269" s="52"/>
      <c r="AC2269" s="52"/>
      <c r="AD2269"/>
      <c r="AE2269"/>
    </row>
    <row r="2270" spans="28:31" x14ac:dyDescent="0.25">
      <c r="AB2270" s="52"/>
      <c r="AC2270" s="52"/>
      <c r="AD2270"/>
      <c r="AE2270"/>
    </row>
    <row r="2271" spans="28:31" x14ac:dyDescent="0.25">
      <c r="AB2271" s="52"/>
      <c r="AC2271" s="52"/>
      <c r="AD2271"/>
      <c r="AE2271"/>
    </row>
    <row r="2272" spans="28:31" x14ac:dyDescent="0.25">
      <c r="AB2272" s="52"/>
      <c r="AC2272" s="52"/>
      <c r="AD2272"/>
      <c r="AE2272"/>
    </row>
    <row r="2273" spans="28:31" x14ac:dyDescent="0.25">
      <c r="AB2273" s="52"/>
      <c r="AC2273" s="52"/>
      <c r="AD2273"/>
      <c r="AE2273"/>
    </row>
    <row r="2274" spans="28:31" x14ac:dyDescent="0.25">
      <c r="AB2274" s="52"/>
      <c r="AC2274" s="52"/>
      <c r="AD2274"/>
      <c r="AE2274"/>
    </row>
    <row r="2275" spans="28:31" x14ac:dyDescent="0.25">
      <c r="AB2275" s="52"/>
      <c r="AC2275" s="52"/>
      <c r="AD2275"/>
      <c r="AE2275"/>
    </row>
    <row r="2276" spans="28:31" x14ac:dyDescent="0.25">
      <c r="AB2276" s="52"/>
      <c r="AC2276" s="52"/>
      <c r="AD2276"/>
      <c r="AE2276"/>
    </row>
    <row r="2277" spans="28:31" x14ac:dyDescent="0.25">
      <c r="AB2277" s="52"/>
      <c r="AC2277" s="52"/>
      <c r="AD2277"/>
      <c r="AE2277"/>
    </row>
    <row r="2278" spans="28:31" x14ac:dyDescent="0.25">
      <c r="AB2278" s="52"/>
      <c r="AC2278" s="52"/>
      <c r="AD2278"/>
      <c r="AE2278"/>
    </row>
    <row r="2279" spans="28:31" x14ac:dyDescent="0.25">
      <c r="AB2279" s="52"/>
      <c r="AC2279" s="52"/>
      <c r="AD2279"/>
      <c r="AE2279"/>
    </row>
    <row r="2280" spans="28:31" x14ac:dyDescent="0.25">
      <c r="AB2280" s="52"/>
      <c r="AC2280" s="52"/>
      <c r="AD2280"/>
      <c r="AE2280"/>
    </row>
    <row r="2281" spans="28:31" x14ac:dyDescent="0.25">
      <c r="AB2281" s="52"/>
      <c r="AC2281" s="52"/>
      <c r="AD2281"/>
      <c r="AE2281"/>
    </row>
    <row r="2282" spans="28:31" x14ac:dyDescent="0.25">
      <c r="AB2282" s="52"/>
      <c r="AC2282" s="52"/>
      <c r="AD2282"/>
      <c r="AE2282"/>
    </row>
    <row r="2283" spans="28:31" x14ac:dyDescent="0.25">
      <c r="AB2283" s="52"/>
      <c r="AC2283" s="52"/>
      <c r="AD2283"/>
      <c r="AE2283"/>
    </row>
    <row r="2284" spans="28:31" x14ac:dyDescent="0.25">
      <c r="AB2284" s="52"/>
      <c r="AC2284" s="52"/>
      <c r="AD2284"/>
      <c r="AE2284"/>
    </row>
    <row r="2285" spans="28:31" x14ac:dyDescent="0.25">
      <c r="AB2285" s="52"/>
      <c r="AC2285" s="52"/>
      <c r="AD2285"/>
      <c r="AE2285"/>
    </row>
    <row r="2286" spans="28:31" x14ac:dyDescent="0.25">
      <c r="AB2286" s="52"/>
      <c r="AC2286" s="52"/>
      <c r="AD2286"/>
      <c r="AE2286"/>
    </row>
    <row r="2287" spans="28:31" x14ac:dyDescent="0.25">
      <c r="AB2287" s="52"/>
      <c r="AC2287" s="52"/>
      <c r="AD2287"/>
      <c r="AE2287"/>
    </row>
    <row r="2288" spans="28:31" x14ac:dyDescent="0.25">
      <c r="AB2288" s="52"/>
      <c r="AC2288" s="52"/>
      <c r="AD2288"/>
      <c r="AE2288"/>
    </row>
    <row r="2289" spans="28:31" x14ac:dyDescent="0.25">
      <c r="AB2289" s="52"/>
      <c r="AC2289" s="52"/>
      <c r="AD2289"/>
      <c r="AE2289"/>
    </row>
    <row r="2290" spans="28:31" x14ac:dyDescent="0.25">
      <c r="AB2290" s="52"/>
      <c r="AC2290" s="52"/>
      <c r="AD2290"/>
      <c r="AE2290"/>
    </row>
    <row r="2291" spans="28:31" x14ac:dyDescent="0.25">
      <c r="AB2291" s="52"/>
      <c r="AC2291" s="52"/>
      <c r="AD2291"/>
      <c r="AE2291"/>
    </row>
    <row r="2292" spans="28:31" x14ac:dyDescent="0.25">
      <c r="AB2292" s="52"/>
      <c r="AC2292" s="52"/>
      <c r="AD2292"/>
      <c r="AE2292"/>
    </row>
    <row r="2293" spans="28:31" x14ac:dyDescent="0.25">
      <c r="AB2293" s="52"/>
      <c r="AC2293" s="52"/>
      <c r="AD2293"/>
      <c r="AE2293"/>
    </row>
    <row r="2294" spans="28:31" x14ac:dyDescent="0.25">
      <c r="AB2294" s="52"/>
      <c r="AC2294" s="52"/>
      <c r="AD2294"/>
      <c r="AE2294"/>
    </row>
    <row r="2295" spans="28:31" x14ac:dyDescent="0.25">
      <c r="AB2295" s="52"/>
      <c r="AC2295" s="52"/>
      <c r="AD2295"/>
      <c r="AE2295"/>
    </row>
    <row r="2296" spans="28:31" x14ac:dyDescent="0.25">
      <c r="AB2296" s="52"/>
      <c r="AC2296" s="52"/>
      <c r="AD2296"/>
      <c r="AE2296"/>
    </row>
    <row r="2297" spans="28:31" x14ac:dyDescent="0.25">
      <c r="AB2297" s="52"/>
      <c r="AC2297" s="52"/>
      <c r="AD2297"/>
      <c r="AE2297"/>
    </row>
    <row r="2298" spans="28:31" x14ac:dyDescent="0.25">
      <c r="AB2298" s="52"/>
      <c r="AC2298" s="52"/>
      <c r="AD2298"/>
      <c r="AE2298"/>
    </row>
    <row r="2299" spans="28:31" x14ac:dyDescent="0.25">
      <c r="AB2299" s="52"/>
      <c r="AC2299" s="52"/>
      <c r="AD2299"/>
      <c r="AE2299"/>
    </row>
    <row r="2300" spans="28:31" x14ac:dyDescent="0.25">
      <c r="AB2300" s="52"/>
      <c r="AC2300" s="52"/>
      <c r="AD2300"/>
      <c r="AE2300"/>
    </row>
    <row r="2301" spans="28:31" x14ac:dyDescent="0.25">
      <c r="AB2301" s="52"/>
      <c r="AC2301" s="52"/>
      <c r="AD2301"/>
      <c r="AE2301"/>
    </row>
    <row r="2302" spans="28:31" x14ac:dyDescent="0.25">
      <c r="AB2302" s="52"/>
      <c r="AC2302" s="52"/>
      <c r="AD2302"/>
      <c r="AE2302"/>
    </row>
    <row r="2303" spans="28:31" x14ac:dyDescent="0.25">
      <c r="AB2303" s="52"/>
      <c r="AC2303" s="52"/>
      <c r="AD2303"/>
      <c r="AE2303"/>
    </row>
    <row r="2304" spans="28:31" x14ac:dyDescent="0.25">
      <c r="AB2304" s="52"/>
      <c r="AC2304" s="52"/>
      <c r="AD2304"/>
      <c r="AE2304"/>
    </row>
    <row r="2305" spans="28:31" x14ac:dyDescent="0.25">
      <c r="AB2305" s="52"/>
      <c r="AC2305" s="52"/>
      <c r="AD2305"/>
      <c r="AE2305"/>
    </row>
    <row r="2306" spans="28:31" x14ac:dyDescent="0.25">
      <c r="AB2306" s="52"/>
      <c r="AC2306" s="52"/>
      <c r="AD2306"/>
      <c r="AE2306"/>
    </row>
    <row r="2307" spans="28:31" x14ac:dyDescent="0.25">
      <c r="AB2307" s="52"/>
      <c r="AC2307" s="52"/>
      <c r="AD2307"/>
      <c r="AE2307"/>
    </row>
    <row r="2308" spans="28:31" x14ac:dyDescent="0.25">
      <c r="AB2308" s="52"/>
      <c r="AC2308" s="52"/>
      <c r="AD2308"/>
      <c r="AE2308"/>
    </row>
    <row r="2309" spans="28:31" x14ac:dyDescent="0.25">
      <c r="AB2309" s="52"/>
      <c r="AC2309" s="52"/>
      <c r="AD2309"/>
      <c r="AE2309"/>
    </row>
    <row r="2310" spans="28:31" x14ac:dyDescent="0.25">
      <c r="AB2310" s="52"/>
      <c r="AC2310" s="52"/>
      <c r="AD2310"/>
      <c r="AE2310"/>
    </row>
    <row r="2311" spans="28:31" x14ac:dyDescent="0.25">
      <c r="AB2311" s="52"/>
      <c r="AC2311" s="52"/>
      <c r="AD2311"/>
      <c r="AE2311"/>
    </row>
    <row r="2312" spans="28:31" x14ac:dyDescent="0.25">
      <c r="AB2312" s="52"/>
      <c r="AC2312" s="52"/>
      <c r="AD2312"/>
      <c r="AE2312"/>
    </row>
    <row r="2313" spans="28:31" x14ac:dyDescent="0.25">
      <c r="AB2313" s="52"/>
      <c r="AC2313" s="52"/>
      <c r="AD2313"/>
      <c r="AE2313"/>
    </row>
    <row r="2314" spans="28:31" x14ac:dyDescent="0.25">
      <c r="AB2314" s="52"/>
      <c r="AC2314" s="52"/>
      <c r="AD2314"/>
      <c r="AE2314"/>
    </row>
    <row r="2315" spans="28:31" x14ac:dyDescent="0.25">
      <c r="AB2315" s="52"/>
      <c r="AC2315" s="52"/>
      <c r="AD2315"/>
      <c r="AE2315"/>
    </row>
    <row r="2316" spans="28:31" x14ac:dyDescent="0.25">
      <c r="AB2316" s="52"/>
      <c r="AC2316" s="52"/>
      <c r="AD2316"/>
      <c r="AE2316"/>
    </row>
    <row r="2317" spans="28:31" x14ac:dyDescent="0.25">
      <c r="AB2317" s="52"/>
      <c r="AC2317" s="52"/>
      <c r="AD2317"/>
      <c r="AE2317"/>
    </row>
    <row r="2318" spans="28:31" x14ac:dyDescent="0.25">
      <c r="AB2318" s="52"/>
      <c r="AC2318" s="52"/>
      <c r="AD2318"/>
      <c r="AE2318"/>
    </row>
    <row r="2319" spans="28:31" x14ac:dyDescent="0.25">
      <c r="AB2319" s="52"/>
      <c r="AC2319" s="52"/>
      <c r="AD2319"/>
      <c r="AE2319"/>
    </row>
    <row r="2320" spans="28:31" x14ac:dyDescent="0.25">
      <c r="AB2320" s="52"/>
      <c r="AC2320" s="52"/>
      <c r="AD2320"/>
      <c r="AE2320"/>
    </row>
    <row r="2321" spans="28:31" x14ac:dyDescent="0.25">
      <c r="AB2321" s="52"/>
      <c r="AC2321" s="52"/>
      <c r="AD2321"/>
      <c r="AE2321"/>
    </row>
    <row r="2322" spans="28:31" x14ac:dyDescent="0.25">
      <c r="AB2322" s="52"/>
      <c r="AC2322" s="52"/>
      <c r="AD2322"/>
      <c r="AE2322"/>
    </row>
    <row r="2323" spans="28:31" x14ac:dyDescent="0.25">
      <c r="AB2323" s="52"/>
      <c r="AC2323" s="52"/>
      <c r="AD2323"/>
      <c r="AE2323"/>
    </row>
    <row r="2324" spans="28:31" x14ac:dyDescent="0.25">
      <c r="AB2324" s="52"/>
      <c r="AC2324" s="52"/>
      <c r="AD2324"/>
      <c r="AE2324"/>
    </row>
    <row r="2325" spans="28:31" x14ac:dyDescent="0.25">
      <c r="AB2325" s="52"/>
      <c r="AC2325" s="52"/>
      <c r="AD2325"/>
      <c r="AE2325"/>
    </row>
    <row r="2326" spans="28:31" x14ac:dyDescent="0.25">
      <c r="AB2326" s="52"/>
      <c r="AC2326" s="52"/>
      <c r="AD2326"/>
      <c r="AE2326"/>
    </row>
    <row r="2327" spans="28:31" x14ac:dyDescent="0.25">
      <c r="AB2327" s="52"/>
      <c r="AC2327" s="52"/>
      <c r="AD2327"/>
      <c r="AE2327"/>
    </row>
    <row r="2328" spans="28:31" x14ac:dyDescent="0.25">
      <c r="AB2328" s="52"/>
      <c r="AC2328" s="52"/>
      <c r="AD2328"/>
      <c r="AE2328"/>
    </row>
    <row r="2329" spans="28:31" x14ac:dyDescent="0.25">
      <c r="AB2329" s="52"/>
      <c r="AC2329" s="52"/>
      <c r="AD2329"/>
      <c r="AE2329"/>
    </row>
    <row r="2330" spans="28:31" x14ac:dyDescent="0.25">
      <c r="AB2330" s="52"/>
      <c r="AC2330" s="52"/>
      <c r="AD2330"/>
      <c r="AE2330"/>
    </row>
    <row r="2331" spans="28:31" x14ac:dyDescent="0.25">
      <c r="AB2331" s="52"/>
      <c r="AC2331" s="52"/>
      <c r="AD2331"/>
      <c r="AE2331"/>
    </row>
    <row r="2332" spans="28:31" x14ac:dyDescent="0.25">
      <c r="AB2332" s="52"/>
      <c r="AC2332" s="52"/>
      <c r="AD2332"/>
      <c r="AE2332"/>
    </row>
    <row r="2333" spans="28:31" x14ac:dyDescent="0.25">
      <c r="AB2333" s="52"/>
      <c r="AC2333" s="52"/>
      <c r="AD2333"/>
      <c r="AE2333"/>
    </row>
    <row r="2334" spans="28:31" x14ac:dyDescent="0.25">
      <c r="AB2334" s="52"/>
      <c r="AC2334" s="52"/>
      <c r="AD2334"/>
      <c r="AE2334"/>
    </row>
    <row r="2335" spans="28:31" x14ac:dyDescent="0.25">
      <c r="AB2335" s="52"/>
      <c r="AC2335" s="52"/>
      <c r="AD2335"/>
      <c r="AE2335"/>
    </row>
    <row r="2336" spans="28:31" x14ac:dyDescent="0.25">
      <c r="AB2336" s="52"/>
      <c r="AC2336" s="52"/>
      <c r="AD2336"/>
      <c r="AE2336"/>
    </row>
    <row r="2337" spans="28:31" x14ac:dyDescent="0.25">
      <c r="AB2337" s="52"/>
      <c r="AC2337" s="52"/>
      <c r="AD2337"/>
      <c r="AE2337"/>
    </row>
    <row r="2338" spans="28:31" x14ac:dyDescent="0.25">
      <c r="AB2338" s="52"/>
      <c r="AC2338" s="52"/>
      <c r="AD2338"/>
      <c r="AE2338"/>
    </row>
    <row r="2339" spans="28:31" x14ac:dyDescent="0.25">
      <c r="AB2339" s="52"/>
      <c r="AC2339" s="52"/>
      <c r="AD2339"/>
      <c r="AE2339"/>
    </row>
    <row r="2340" spans="28:31" x14ac:dyDescent="0.25">
      <c r="AB2340" s="52"/>
      <c r="AC2340" s="52"/>
      <c r="AD2340"/>
      <c r="AE2340"/>
    </row>
    <row r="2341" spans="28:31" x14ac:dyDescent="0.25">
      <c r="AB2341" s="52"/>
      <c r="AC2341" s="52"/>
      <c r="AD2341"/>
      <c r="AE2341"/>
    </row>
    <row r="2342" spans="28:31" x14ac:dyDescent="0.25">
      <c r="AB2342" s="52"/>
      <c r="AC2342" s="52"/>
      <c r="AD2342"/>
      <c r="AE2342"/>
    </row>
    <row r="2343" spans="28:31" x14ac:dyDescent="0.25">
      <c r="AB2343" s="52"/>
      <c r="AC2343" s="52"/>
      <c r="AD2343"/>
      <c r="AE2343"/>
    </row>
    <row r="2344" spans="28:31" x14ac:dyDescent="0.25">
      <c r="AB2344" s="52"/>
      <c r="AC2344" s="52"/>
      <c r="AD2344"/>
      <c r="AE2344"/>
    </row>
    <row r="2345" spans="28:31" x14ac:dyDescent="0.25">
      <c r="AB2345" s="52"/>
      <c r="AC2345" s="52"/>
      <c r="AD2345"/>
      <c r="AE2345"/>
    </row>
    <row r="2346" spans="28:31" x14ac:dyDescent="0.25">
      <c r="AB2346" s="52"/>
      <c r="AC2346" s="52"/>
      <c r="AD2346"/>
      <c r="AE2346"/>
    </row>
    <row r="2347" spans="28:31" x14ac:dyDescent="0.25">
      <c r="AB2347" s="52"/>
      <c r="AC2347" s="52"/>
      <c r="AD2347"/>
      <c r="AE2347"/>
    </row>
    <row r="2348" spans="28:31" x14ac:dyDescent="0.25">
      <c r="AB2348" s="52"/>
      <c r="AC2348" s="52"/>
      <c r="AD2348"/>
      <c r="AE2348"/>
    </row>
    <row r="2349" spans="28:31" x14ac:dyDescent="0.25">
      <c r="AB2349" s="52"/>
      <c r="AC2349" s="52"/>
      <c r="AD2349"/>
      <c r="AE2349"/>
    </row>
    <row r="2350" spans="28:31" x14ac:dyDescent="0.25">
      <c r="AB2350" s="52"/>
      <c r="AC2350" s="52"/>
      <c r="AD2350"/>
      <c r="AE2350"/>
    </row>
    <row r="2351" spans="28:31" x14ac:dyDescent="0.25">
      <c r="AB2351" s="52"/>
      <c r="AC2351" s="52"/>
      <c r="AD2351"/>
      <c r="AE2351"/>
    </row>
    <row r="2352" spans="28:31" x14ac:dyDescent="0.25">
      <c r="AB2352" s="52"/>
      <c r="AC2352" s="52"/>
      <c r="AD2352"/>
      <c r="AE2352"/>
    </row>
    <row r="2353" spans="28:31" x14ac:dyDescent="0.25">
      <c r="AB2353" s="52"/>
      <c r="AC2353" s="52"/>
      <c r="AD2353"/>
      <c r="AE2353"/>
    </row>
    <row r="2354" spans="28:31" x14ac:dyDescent="0.25">
      <c r="AB2354" s="52"/>
      <c r="AC2354" s="52"/>
      <c r="AD2354"/>
      <c r="AE2354"/>
    </row>
    <row r="2355" spans="28:31" x14ac:dyDescent="0.25">
      <c r="AB2355" s="52"/>
      <c r="AC2355" s="52"/>
      <c r="AD2355"/>
      <c r="AE2355"/>
    </row>
    <row r="2356" spans="28:31" x14ac:dyDescent="0.25">
      <c r="AB2356" s="52"/>
      <c r="AC2356" s="52"/>
      <c r="AD2356"/>
      <c r="AE2356"/>
    </row>
    <row r="2357" spans="28:31" x14ac:dyDescent="0.25">
      <c r="AB2357" s="52"/>
      <c r="AC2357" s="52"/>
      <c r="AD2357"/>
      <c r="AE2357"/>
    </row>
    <row r="2358" spans="28:31" x14ac:dyDescent="0.25">
      <c r="AB2358" s="52"/>
      <c r="AC2358" s="52"/>
      <c r="AD2358"/>
      <c r="AE2358"/>
    </row>
    <row r="2359" spans="28:31" x14ac:dyDescent="0.25">
      <c r="AB2359" s="52"/>
      <c r="AC2359" s="52"/>
      <c r="AD2359"/>
      <c r="AE2359"/>
    </row>
    <row r="2360" spans="28:31" x14ac:dyDescent="0.25">
      <c r="AB2360" s="52"/>
      <c r="AC2360" s="52"/>
      <c r="AD2360"/>
      <c r="AE2360"/>
    </row>
    <row r="2361" spans="28:31" x14ac:dyDescent="0.25">
      <c r="AB2361" s="52"/>
      <c r="AC2361" s="52"/>
      <c r="AD2361"/>
      <c r="AE2361"/>
    </row>
    <row r="2362" spans="28:31" x14ac:dyDescent="0.25">
      <c r="AB2362" s="52"/>
      <c r="AC2362" s="52"/>
      <c r="AD2362"/>
      <c r="AE2362"/>
    </row>
    <row r="2363" spans="28:31" x14ac:dyDescent="0.25">
      <c r="AB2363" s="52"/>
      <c r="AC2363" s="52"/>
      <c r="AD2363"/>
      <c r="AE2363"/>
    </row>
    <row r="2364" spans="28:31" x14ac:dyDescent="0.25">
      <c r="AB2364" s="52"/>
      <c r="AC2364" s="52"/>
      <c r="AD2364"/>
      <c r="AE2364"/>
    </row>
    <row r="2365" spans="28:31" x14ac:dyDescent="0.25">
      <c r="AB2365" s="52"/>
      <c r="AC2365" s="52"/>
      <c r="AD2365"/>
      <c r="AE2365"/>
    </row>
    <row r="2366" spans="28:31" x14ac:dyDescent="0.25">
      <c r="AB2366" s="52"/>
      <c r="AC2366" s="52"/>
      <c r="AD2366"/>
      <c r="AE2366"/>
    </row>
    <row r="2367" spans="28:31" x14ac:dyDescent="0.25">
      <c r="AB2367" s="52"/>
      <c r="AC2367" s="52"/>
      <c r="AD2367"/>
      <c r="AE2367"/>
    </row>
    <row r="2368" spans="28:31" x14ac:dyDescent="0.25">
      <c r="AB2368" s="52"/>
      <c r="AC2368" s="52"/>
      <c r="AD2368"/>
      <c r="AE2368"/>
    </row>
    <row r="2369" spans="28:31" x14ac:dyDescent="0.25">
      <c r="AB2369" s="52"/>
      <c r="AC2369" s="52"/>
      <c r="AD2369"/>
      <c r="AE2369"/>
    </row>
    <row r="2370" spans="28:31" x14ac:dyDescent="0.25">
      <c r="AB2370" s="52"/>
      <c r="AC2370" s="52"/>
      <c r="AD2370"/>
      <c r="AE2370"/>
    </row>
    <row r="2371" spans="28:31" x14ac:dyDescent="0.25">
      <c r="AB2371" s="52"/>
      <c r="AC2371" s="52"/>
      <c r="AD2371"/>
      <c r="AE2371"/>
    </row>
    <row r="2372" spans="28:31" x14ac:dyDescent="0.25">
      <c r="AB2372" s="52"/>
      <c r="AC2372" s="52"/>
      <c r="AD2372"/>
      <c r="AE2372"/>
    </row>
    <row r="2373" spans="28:31" x14ac:dyDescent="0.25">
      <c r="AB2373" s="52"/>
      <c r="AC2373" s="52"/>
      <c r="AD2373"/>
      <c r="AE2373"/>
    </row>
    <row r="2374" spans="28:31" x14ac:dyDescent="0.25">
      <c r="AB2374" s="52"/>
      <c r="AC2374" s="52"/>
      <c r="AD2374"/>
      <c r="AE2374"/>
    </row>
    <row r="2375" spans="28:31" x14ac:dyDescent="0.25">
      <c r="AB2375" s="52"/>
      <c r="AC2375" s="52"/>
      <c r="AD2375"/>
      <c r="AE2375"/>
    </row>
    <row r="2376" spans="28:31" x14ac:dyDescent="0.25">
      <c r="AB2376" s="52"/>
      <c r="AC2376" s="52"/>
      <c r="AD2376"/>
      <c r="AE2376"/>
    </row>
    <row r="2377" spans="28:31" x14ac:dyDescent="0.25">
      <c r="AB2377" s="52"/>
      <c r="AC2377" s="52"/>
      <c r="AD2377"/>
      <c r="AE2377"/>
    </row>
    <row r="2378" spans="28:31" x14ac:dyDescent="0.25">
      <c r="AB2378" s="52"/>
      <c r="AC2378" s="52"/>
      <c r="AD2378"/>
      <c r="AE2378"/>
    </row>
    <row r="2379" spans="28:31" x14ac:dyDescent="0.25">
      <c r="AB2379" s="52"/>
      <c r="AC2379" s="52"/>
      <c r="AD2379"/>
      <c r="AE2379"/>
    </row>
    <row r="2380" spans="28:31" x14ac:dyDescent="0.25">
      <c r="AB2380" s="52"/>
      <c r="AC2380" s="52"/>
      <c r="AD2380"/>
      <c r="AE2380"/>
    </row>
    <row r="2381" spans="28:31" x14ac:dyDescent="0.25">
      <c r="AB2381" s="52"/>
      <c r="AC2381" s="52"/>
      <c r="AD2381"/>
      <c r="AE2381"/>
    </row>
    <row r="2382" spans="28:31" x14ac:dyDescent="0.25">
      <c r="AB2382" s="52"/>
      <c r="AC2382" s="52"/>
      <c r="AD2382"/>
      <c r="AE2382"/>
    </row>
    <row r="2383" spans="28:31" x14ac:dyDescent="0.25">
      <c r="AB2383" s="52"/>
      <c r="AC2383" s="52"/>
      <c r="AD2383"/>
      <c r="AE2383"/>
    </row>
    <row r="2384" spans="28:31" x14ac:dyDescent="0.25">
      <c r="AB2384" s="52"/>
      <c r="AC2384" s="52"/>
      <c r="AD2384"/>
      <c r="AE2384"/>
    </row>
    <row r="2385" spans="28:31" x14ac:dyDescent="0.25">
      <c r="AB2385" s="52"/>
      <c r="AC2385" s="52"/>
      <c r="AD2385"/>
      <c r="AE2385"/>
    </row>
    <row r="2386" spans="28:31" x14ac:dyDescent="0.25">
      <c r="AB2386" s="52"/>
      <c r="AC2386" s="52"/>
      <c r="AD2386"/>
      <c r="AE2386"/>
    </row>
    <row r="2387" spans="28:31" x14ac:dyDescent="0.25">
      <c r="AB2387" s="52"/>
      <c r="AC2387" s="52"/>
      <c r="AD2387"/>
      <c r="AE2387"/>
    </row>
    <row r="2388" spans="28:31" x14ac:dyDescent="0.25">
      <c r="AB2388" s="52"/>
      <c r="AC2388" s="52"/>
      <c r="AD2388"/>
      <c r="AE2388"/>
    </row>
    <row r="2389" spans="28:31" x14ac:dyDescent="0.25">
      <c r="AB2389" s="52"/>
      <c r="AC2389" s="52"/>
      <c r="AD2389"/>
      <c r="AE2389"/>
    </row>
    <row r="2390" spans="28:31" x14ac:dyDescent="0.25">
      <c r="AB2390" s="52"/>
      <c r="AC2390" s="52"/>
      <c r="AD2390"/>
      <c r="AE2390"/>
    </row>
    <row r="2391" spans="28:31" x14ac:dyDescent="0.25">
      <c r="AB2391" s="52"/>
      <c r="AC2391" s="52"/>
      <c r="AD2391"/>
      <c r="AE2391"/>
    </row>
    <row r="2392" spans="28:31" x14ac:dyDescent="0.25">
      <c r="AB2392" s="52"/>
      <c r="AC2392" s="52"/>
      <c r="AD2392"/>
      <c r="AE2392"/>
    </row>
    <row r="2393" spans="28:31" x14ac:dyDescent="0.25">
      <c r="AB2393" s="52"/>
      <c r="AC2393" s="52"/>
      <c r="AD2393"/>
      <c r="AE2393"/>
    </row>
    <row r="2394" spans="28:31" x14ac:dyDescent="0.25">
      <c r="AB2394" s="52"/>
      <c r="AC2394" s="52"/>
      <c r="AD2394"/>
      <c r="AE2394"/>
    </row>
    <row r="2395" spans="28:31" x14ac:dyDescent="0.25">
      <c r="AB2395" s="52"/>
      <c r="AC2395" s="52"/>
      <c r="AD2395"/>
      <c r="AE2395"/>
    </row>
    <row r="2396" spans="28:31" x14ac:dyDescent="0.25">
      <c r="AB2396" s="52"/>
      <c r="AC2396" s="52"/>
      <c r="AD2396"/>
      <c r="AE2396"/>
    </row>
    <row r="2397" spans="28:31" x14ac:dyDescent="0.25">
      <c r="AB2397" s="52"/>
      <c r="AC2397" s="52"/>
      <c r="AD2397"/>
      <c r="AE2397"/>
    </row>
    <row r="2398" spans="28:31" x14ac:dyDescent="0.25">
      <c r="AB2398" s="52"/>
      <c r="AC2398" s="52"/>
      <c r="AD2398"/>
      <c r="AE2398"/>
    </row>
    <row r="2399" spans="28:31" x14ac:dyDescent="0.25">
      <c r="AB2399" s="52"/>
      <c r="AC2399" s="52"/>
      <c r="AD2399"/>
      <c r="AE2399"/>
    </row>
    <row r="2400" spans="28:31" x14ac:dyDescent="0.25">
      <c r="AB2400" s="52"/>
      <c r="AC2400" s="52"/>
      <c r="AD2400"/>
      <c r="AE2400"/>
    </row>
    <row r="2401" spans="28:31" x14ac:dyDescent="0.25">
      <c r="AB2401" s="52"/>
      <c r="AC2401" s="52"/>
      <c r="AD2401"/>
      <c r="AE2401"/>
    </row>
    <row r="2402" spans="28:31" x14ac:dyDescent="0.25">
      <c r="AB2402" s="52"/>
      <c r="AC2402" s="52"/>
      <c r="AD2402"/>
      <c r="AE2402"/>
    </row>
    <row r="2403" spans="28:31" x14ac:dyDescent="0.25">
      <c r="AB2403" s="52"/>
      <c r="AC2403" s="52"/>
      <c r="AD2403"/>
      <c r="AE2403"/>
    </row>
    <row r="2404" spans="28:31" x14ac:dyDescent="0.25">
      <c r="AB2404" s="52"/>
      <c r="AC2404" s="52"/>
      <c r="AD2404"/>
      <c r="AE2404"/>
    </row>
    <row r="2405" spans="28:31" x14ac:dyDescent="0.25">
      <c r="AB2405" s="52"/>
      <c r="AC2405" s="52"/>
      <c r="AD2405"/>
      <c r="AE2405"/>
    </row>
    <row r="2406" spans="28:31" x14ac:dyDescent="0.25">
      <c r="AB2406" s="52"/>
      <c r="AC2406" s="52"/>
      <c r="AD2406"/>
      <c r="AE2406"/>
    </row>
    <row r="2407" spans="28:31" x14ac:dyDescent="0.25">
      <c r="AB2407" s="52"/>
      <c r="AC2407" s="52"/>
      <c r="AD2407"/>
      <c r="AE2407"/>
    </row>
    <row r="2408" spans="28:31" x14ac:dyDescent="0.25">
      <c r="AB2408" s="52"/>
      <c r="AC2408" s="52"/>
      <c r="AD2408"/>
      <c r="AE2408"/>
    </row>
    <row r="2409" spans="28:31" x14ac:dyDescent="0.25">
      <c r="AB2409" s="52"/>
      <c r="AC2409" s="52"/>
      <c r="AD2409"/>
      <c r="AE2409"/>
    </row>
    <row r="2410" spans="28:31" x14ac:dyDescent="0.25">
      <c r="AB2410" s="52"/>
      <c r="AC2410" s="52"/>
      <c r="AD2410"/>
      <c r="AE2410"/>
    </row>
    <row r="2411" spans="28:31" x14ac:dyDescent="0.25">
      <c r="AB2411" s="52"/>
      <c r="AC2411" s="52"/>
      <c r="AD2411"/>
      <c r="AE2411"/>
    </row>
    <row r="2412" spans="28:31" x14ac:dyDescent="0.25">
      <c r="AB2412" s="52"/>
      <c r="AC2412" s="52"/>
      <c r="AD2412"/>
      <c r="AE2412"/>
    </row>
    <row r="2413" spans="28:31" x14ac:dyDescent="0.25">
      <c r="AB2413" s="52"/>
      <c r="AC2413" s="52"/>
      <c r="AD2413"/>
      <c r="AE2413"/>
    </row>
    <row r="2414" spans="28:31" x14ac:dyDescent="0.25">
      <c r="AB2414" s="52"/>
      <c r="AC2414" s="52"/>
      <c r="AD2414"/>
      <c r="AE2414"/>
    </row>
    <row r="2415" spans="28:31" x14ac:dyDescent="0.25">
      <c r="AB2415" s="52"/>
      <c r="AC2415" s="52"/>
      <c r="AD2415"/>
      <c r="AE2415"/>
    </row>
    <row r="2416" spans="28:31" x14ac:dyDescent="0.25">
      <c r="AB2416" s="52"/>
      <c r="AC2416" s="52"/>
      <c r="AD2416"/>
      <c r="AE2416"/>
    </row>
    <row r="2417" spans="15:31" x14ac:dyDescent="0.25">
      <c r="AB2417" s="52"/>
      <c r="AC2417" s="52"/>
      <c r="AD2417"/>
      <c r="AE2417"/>
    </row>
    <row r="2418" spans="15:31" x14ac:dyDescent="0.25">
      <c r="AB2418" s="52"/>
      <c r="AC2418" s="52"/>
      <c r="AD2418"/>
      <c r="AE2418"/>
    </row>
    <row r="2419" spans="15:31" x14ac:dyDescent="0.25">
      <c r="AB2419" s="52"/>
      <c r="AC2419" s="52"/>
      <c r="AD2419"/>
      <c r="AE2419"/>
    </row>
    <row r="2420" spans="15:31" x14ac:dyDescent="0.25">
      <c r="AB2420" s="52"/>
      <c r="AC2420" s="52"/>
      <c r="AD2420"/>
      <c r="AE2420"/>
    </row>
    <row r="2421" spans="15:31" x14ac:dyDescent="0.25">
      <c r="AB2421" s="52"/>
      <c r="AC2421" s="52"/>
      <c r="AD2421"/>
      <c r="AE2421"/>
    </row>
    <row r="2422" spans="15:31" x14ac:dyDescent="0.25">
      <c r="AB2422" s="52"/>
      <c r="AC2422" s="52"/>
      <c r="AD2422"/>
      <c r="AE2422"/>
    </row>
    <row r="2423" spans="15:31" x14ac:dyDescent="0.25">
      <c r="AB2423" s="52"/>
      <c r="AC2423" s="52"/>
      <c r="AD2423"/>
      <c r="AE2423"/>
    </row>
    <row r="2424" spans="15:31" x14ac:dyDescent="0.25">
      <c r="AB2424" s="52"/>
      <c r="AC2424" s="52"/>
      <c r="AD2424"/>
      <c r="AE2424"/>
    </row>
    <row r="2425" spans="15:31" x14ac:dyDescent="0.25">
      <c r="O2425" s="63" t="e">
        <f>#REF!-#REF!</f>
        <v>#REF!</v>
      </c>
      <c r="AB2425" s="52"/>
      <c r="AC2425" s="52"/>
      <c r="AD2425"/>
      <c r="AE2425"/>
    </row>
    <row r="2426" spans="15:31" x14ac:dyDescent="0.25">
      <c r="AB2426" s="52"/>
      <c r="AC2426" s="52"/>
      <c r="AD2426"/>
      <c r="AE2426"/>
    </row>
    <row r="2427" spans="15:31" x14ac:dyDescent="0.25">
      <c r="AB2427" s="52"/>
      <c r="AC2427" s="52"/>
      <c r="AD2427"/>
      <c r="AE2427"/>
    </row>
    <row r="2428" spans="15:31" x14ac:dyDescent="0.25">
      <c r="AB2428" s="52"/>
      <c r="AC2428" s="52"/>
      <c r="AD2428"/>
      <c r="AE2428"/>
    </row>
    <row r="2429" spans="15:31" x14ac:dyDescent="0.25">
      <c r="AB2429" s="52"/>
      <c r="AC2429" s="52"/>
      <c r="AD2429"/>
      <c r="AE2429"/>
    </row>
    <row r="2430" spans="15:31" x14ac:dyDescent="0.25">
      <c r="AB2430" s="52"/>
      <c r="AC2430" s="52"/>
      <c r="AD2430"/>
      <c r="AE2430"/>
    </row>
    <row r="2431" spans="15:31" x14ac:dyDescent="0.25">
      <c r="AB2431" s="52"/>
      <c r="AC2431" s="52"/>
      <c r="AD2431"/>
      <c r="AE2431"/>
    </row>
    <row r="2432" spans="15:31" x14ac:dyDescent="0.25">
      <c r="AB2432" s="52"/>
      <c r="AC2432" s="52"/>
      <c r="AD2432"/>
      <c r="AE2432"/>
    </row>
    <row r="2433" spans="28:31" x14ac:dyDescent="0.25">
      <c r="AB2433" s="52"/>
      <c r="AC2433" s="52"/>
      <c r="AD2433"/>
      <c r="AE2433"/>
    </row>
    <row r="2434" spans="28:31" x14ac:dyDescent="0.25">
      <c r="AB2434" s="52"/>
      <c r="AC2434" s="52"/>
      <c r="AD2434"/>
      <c r="AE2434"/>
    </row>
    <row r="2435" spans="28:31" x14ac:dyDescent="0.25">
      <c r="AB2435" s="52"/>
      <c r="AC2435" s="52"/>
      <c r="AD2435"/>
      <c r="AE2435"/>
    </row>
    <row r="2436" spans="28:31" x14ac:dyDescent="0.25">
      <c r="AB2436" s="52"/>
      <c r="AC2436" s="52"/>
      <c r="AD2436"/>
      <c r="AE2436"/>
    </row>
    <row r="2437" spans="28:31" x14ac:dyDescent="0.25">
      <c r="AB2437" s="52"/>
      <c r="AC2437" s="52"/>
      <c r="AD2437"/>
      <c r="AE2437"/>
    </row>
    <row r="2438" spans="28:31" x14ac:dyDescent="0.25">
      <c r="AB2438" s="52"/>
      <c r="AC2438" s="52"/>
      <c r="AD2438"/>
      <c r="AE2438"/>
    </row>
    <row r="2439" spans="28:31" x14ac:dyDescent="0.25">
      <c r="AB2439" s="52"/>
      <c r="AC2439" s="52"/>
      <c r="AD2439"/>
      <c r="AE2439"/>
    </row>
    <row r="2440" spans="28:31" x14ac:dyDescent="0.25">
      <c r="AB2440" s="52"/>
      <c r="AC2440" s="52"/>
      <c r="AD2440"/>
      <c r="AE2440"/>
    </row>
    <row r="2441" spans="28:31" x14ac:dyDescent="0.25">
      <c r="AB2441" s="52"/>
      <c r="AC2441" s="52"/>
      <c r="AD2441"/>
      <c r="AE2441"/>
    </row>
    <row r="2442" spans="28:31" x14ac:dyDescent="0.25">
      <c r="AB2442" s="52"/>
      <c r="AC2442" s="52"/>
      <c r="AD2442"/>
      <c r="AE2442"/>
    </row>
    <row r="2443" spans="28:31" x14ac:dyDescent="0.25">
      <c r="AB2443" s="52"/>
      <c r="AC2443" s="52"/>
      <c r="AD2443"/>
      <c r="AE2443"/>
    </row>
    <row r="2444" spans="28:31" x14ac:dyDescent="0.25">
      <c r="AB2444" s="52"/>
      <c r="AC2444" s="52"/>
      <c r="AD2444"/>
      <c r="AE2444"/>
    </row>
    <row r="2445" spans="28:31" x14ac:dyDescent="0.25">
      <c r="AB2445" s="52"/>
      <c r="AC2445" s="52"/>
      <c r="AD2445"/>
      <c r="AE2445"/>
    </row>
    <row r="2446" spans="28:31" x14ac:dyDescent="0.25">
      <c r="AB2446" s="52"/>
      <c r="AC2446" s="52"/>
      <c r="AD2446"/>
      <c r="AE2446"/>
    </row>
    <row r="2447" spans="28:31" x14ac:dyDescent="0.25">
      <c r="AB2447" s="52"/>
      <c r="AC2447" s="52"/>
      <c r="AD2447"/>
      <c r="AE2447"/>
    </row>
    <row r="2448" spans="28:31" x14ac:dyDescent="0.25">
      <c r="AB2448" s="52"/>
      <c r="AC2448" s="52"/>
      <c r="AD2448"/>
      <c r="AE2448"/>
    </row>
    <row r="2449" spans="28:31" x14ac:dyDescent="0.25">
      <c r="AB2449" s="52"/>
      <c r="AC2449" s="52"/>
      <c r="AD2449"/>
      <c r="AE2449"/>
    </row>
    <row r="2450" spans="28:31" x14ac:dyDescent="0.25">
      <c r="AB2450" s="52"/>
      <c r="AC2450" s="52"/>
      <c r="AD2450"/>
      <c r="AE2450"/>
    </row>
    <row r="2451" spans="28:31" x14ac:dyDescent="0.25">
      <c r="AB2451" s="52"/>
      <c r="AC2451" s="52"/>
      <c r="AD2451"/>
      <c r="AE2451"/>
    </row>
    <row r="2452" spans="28:31" x14ac:dyDescent="0.25">
      <c r="AB2452" s="52"/>
      <c r="AC2452" s="52"/>
      <c r="AD2452"/>
      <c r="AE2452"/>
    </row>
    <row r="2453" spans="28:31" x14ac:dyDescent="0.25">
      <c r="AB2453" s="52"/>
      <c r="AC2453" s="52"/>
      <c r="AD2453"/>
      <c r="AE2453"/>
    </row>
    <row r="2454" spans="28:31" x14ac:dyDescent="0.25">
      <c r="AB2454" s="52"/>
      <c r="AC2454" s="52"/>
      <c r="AD2454"/>
      <c r="AE2454"/>
    </row>
    <row r="2455" spans="28:31" x14ac:dyDescent="0.25">
      <c r="AB2455" s="52"/>
      <c r="AC2455" s="52"/>
      <c r="AD2455"/>
      <c r="AE2455"/>
    </row>
    <row r="2456" spans="28:31" x14ac:dyDescent="0.25">
      <c r="AB2456" s="52"/>
      <c r="AC2456" s="52"/>
      <c r="AD2456"/>
      <c r="AE2456"/>
    </row>
    <row r="2457" spans="28:31" x14ac:dyDescent="0.25">
      <c r="AB2457" s="52"/>
      <c r="AC2457" s="52"/>
      <c r="AD2457"/>
      <c r="AE2457"/>
    </row>
    <row r="2458" spans="28:31" x14ac:dyDescent="0.25">
      <c r="AB2458" s="52"/>
      <c r="AC2458" s="52"/>
      <c r="AD2458"/>
      <c r="AE2458"/>
    </row>
    <row r="2459" spans="28:31" x14ac:dyDescent="0.25">
      <c r="AB2459" s="52"/>
      <c r="AC2459" s="52"/>
      <c r="AD2459"/>
      <c r="AE2459"/>
    </row>
    <row r="2460" spans="28:31" x14ac:dyDescent="0.25">
      <c r="AB2460" s="52"/>
      <c r="AC2460" s="52"/>
      <c r="AD2460"/>
      <c r="AE2460"/>
    </row>
    <row r="2461" spans="28:31" x14ac:dyDescent="0.25">
      <c r="AB2461" s="52"/>
      <c r="AC2461" s="52"/>
      <c r="AD2461"/>
      <c r="AE2461"/>
    </row>
    <row r="2462" spans="28:31" x14ac:dyDescent="0.25">
      <c r="AB2462" s="52"/>
      <c r="AC2462" s="52"/>
      <c r="AD2462"/>
      <c r="AE2462"/>
    </row>
    <row r="2463" spans="28:31" x14ac:dyDescent="0.25">
      <c r="AB2463" s="52"/>
      <c r="AC2463" s="52"/>
      <c r="AD2463"/>
      <c r="AE2463"/>
    </row>
    <row r="2464" spans="28:31" x14ac:dyDescent="0.25">
      <c r="AB2464" s="52"/>
      <c r="AC2464" s="52"/>
      <c r="AD2464"/>
      <c r="AE2464"/>
    </row>
    <row r="2465" spans="28:31" x14ac:dyDescent="0.25">
      <c r="AB2465" s="52"/>
      <c r="AC2465" s="52"/>
      <c r="AD2465"/>
      <c r="AE2465"/>
    </row>
    <row r="2466" spans="28:31" x14ac:dyDescent="0.25">
      <c r="AB2466" s="52"/>
      <c r="AC2466" s="52"/>
      <c r="AD2466"/>
      <c r="AE2466"/>
    </row>
    <row r="2467" spans="28:31" x14ac:dyDescent="0.25">
      <c r="AB2467" s="52"/>
      <c r="AC2467" s="52"/>
      <c r="AD2467"/>
      <c r="AE2467"/>
    </row>
    <row r="2468" spans="28:31" x14ac:dyDescent="0.25">
      <c r="AB2468" s="52"/>
      <c r="AC2468" s="52"/>
      <c r="AD2468"/>
      <c r="AE2468"/>
    </row>
    <row r="2469" spans="28:31" x14ac:dyDescent="0.25">
      <c r="AB2469" s="52"/>
      <c r="AC2469" s="52"/>
      <c r="AD2469"/>
      <c r="AE2469"/>
    </row>
    <row r="2470" spans="28:31" x14ac:dyDescent="0.25">
      <c r="AB2470" s="52"/>
      <c r="AC2470" s="52"/>
      <c r="AD2470"/>
      <c r="AE2470"/>
    </row>
    <row r="2471" spans="28:31" x14ac:dyDescent="0.25">
      <c r="AB2471" s="52"/>
      <c r="AC2471" s="52"/>
      <c r="AD2471"/>
      <c r="AE2471"/>
    </row>
    <row r="2472" spans="28:31" x14ac:dyDescent="0.25">
      <c r="AB2472" s="52"/>
      <c r="AC2472" s="52"/>
      <c r="AD2472"/>
      <c r="AE2472"/>
    </row>
    <row r="2473" spans="28:31" x14ac:dyDescent="0.25">
      <c r="AB2473" s="52"/>
      <c r="AC2473" s="52"/>
      <c r="AD2473"/>
      <c r="AE2473"/>
    </row>
    <row r="2474" spans="28:31" x14ac:dyDescent="0.25">
      <c r="AB2474" s="52"/>
      <c r="AC2474" s="52"/>
      <c r="AD2474"/>
      <c r="AE2474"/>
    </row>
    <row r="2475" spans="28:31" x14ac:dyDescent="0.25">
      <c r="AB2475" s="52"/>
      <c r="AC2475" s="52"/>
      <c r="AD2475"/>
      <c r="AE2475"/>
    </row>
    <row r="2476" spans="28:31" x14ac:dyDescent="0.25">
      <c r="AB2476" s="52"/>
      <c r="AC2476" s="52"/>
      <c r="AD2476"/>
      <c r="AE2476"/>
    </row>
    <row r="2477" spans="28:31" x14ac:dyDescent="0.25">
      <c r="AB2477" s="52"/>
      <c r="AC2477" s="52"/>
      <c r="AD2477"/>
      <c r="AE2477"/>
    </row>
    <row r="2478" spans="28:31" x14ac:dyDescent="0.25">
      <c r="AB2478" s="52"/>
      <c r="AC2478" s="52"/>
      <c r="AD2478"/>
      <c r="AE2478"/>
    </row>
    <row r="2479" spans="28:31" x14ac:dyDescent="0.25">
      <c r="AB2479" s="52"/>
      <c r="AC2479" s="52"/>
      <c r="AD2479"/>
      <c r="AE2479"/>
    </row>
    <row r="2480" spans="28:31" x14ac:dyDescent="0.25">
      <c r="AB2480" s="52"/>
      <c r="AC2480" s="52"/>
      <c r="AD2480"/>
      <c r="AE2480"/>
    </row>
    <row r="2481" spans="28:31" x14ac:dyDescent="0.25">
      <c r="AB2481" s="52"/>
      <c r="AC2481" s="52"/>
      <c r="AD2481"/>
      <c r="AE2481"/>
    </row>
    <row r="2482" spans="28:31" x14ac:dyDescent="0.25">
      <c r="AB2482" s="52"/>
      <c r="AC2482" s="52"/>
      <c r="AD2482"/>
      <c r="AE2482"/>
    </row>
    <row r="2483" spans="28:31" x14ac:dyDescent="0.25">
      <c r="AB2483" s="52"/>
      <c r="AC2483" s="52"/>
      <c r="AD2483"/>
      <c r="AE2483"/>
    </row>
    <row r="2484" spans="28:31" x14ac:dyDescent="0.25">
      <c r="AB2484" s="52"/>
      <c r="AC2484" s="52"/>
      <c r="AD2484"/>
      <c r="AE2484"/>
    </row>
    <row r="2485" spans="28:31" x14ac:dyDescent="0.25">
      <c r="AB2485" s="52"/>
      <c r="AC2485" s="52"/>
      <c r="AD2485"/>
      <c r="AE2485"/>
    </row>
    <row r="2486" spans="28:31" x14ac:dyDescent="0.25">
      <c r="AB2486" s="52"/>
      <c r="AC2486" s="52"/>
      <c r="AD2486"/>
      <c r="AE2486"/>
    </row>
    <row r="2487" spans="28:31" x14ac:dyDescent="0.25">
      <c r="AB2487" s="52"/>
      <c r="AC2487" s="52"/>
      <c r="AD2487"/>
      <c r="AE2487"/>
    </row>
    <row r="2488" spans="28:31" x14ac:dyDescent="0.25">
      <c r="AB2488" s="52"/>
      <c r="AC2488" s="52"/>
      <c r="AD2488"/>
      <c r="AE2488"/>
    </row>
    <row r="2489" spans="28:31" x14ac:dyDescent="0.25">
      <c r="AB2489" s="52"/>
      <c r="AC2489" s="52"/>
      <c r="AD2489"/>
      <c r="AE2489"/>
    </row>
    <row r="2490" spans="28:31" x14ac:dyDescent="0.25">
      <c r="AB2490" s="52"/>
      <c r="AC2490" s="52"/>
      <c r="AD2490"/>
      <c r="AE2490"/>
    </row>
    <row r="2491" spans="28:31" x14ac:dyDescent="0.25">
      <c r="AB2491" s="52"/>
      <c r="AC2491" s="52"/>
      <c r="AD2491"/>
      <c r="AE2491"/>
    </row>
    <row r="2492" spans="28:31" x14ac:dyDescent="0.25">
      <c r="AB2492" s="52"/>
      <c r="AC2492" s="52"/>
      <c r="AD2492"/>
      <c r="AE2492"/>
    </row>
    <row r="2493" spans="28:31" x14ac:dyDescent="0.25">
      <c r="AB2493" s="52"/>
      <c r="AC2493" s="52"/>
      <c r="AD2493"/>
      <c r="AE2493"/>
    </row>
    <row r="2494" spans="28:31" x14ac:dyDescent="0.25">
      <c r="AB2494" s="52"/>
      <c r="AC2494" s="52"/>
      <c r="AD2494"/>
      <c r="AE2494"/>
    </row>
    <row r="2495" spans="28:31" x14ac:dyDescent="0.25">
      <c r="AB2495" s="52"/>
      <c r="AC2495" s="52"/>
      <c r="AD2495"/>
      <c r="AE2495"/>
    </row>
    <row r="2496" spans="28:31" x14ac:dyDescent="0.25">
      <c r="AB2496" s="52"/>
      <c r="AC2496" s="52"/>
      <c r="AD2496"/>
      <c r="AE2496"/>
    </row>
    <row r="2497" spans="28:31" x14ac:dyDescent="0.25">
      <c r="AB2497" s="52"/>
      <c r="AC2497" s="52"/>
      <c r="AD2497"/>
      <c r="AE2497"/>
    </row>
    <row r="2498" spans="28:31" x14ac:dyDescent="0.25">
      <c r="AB2498" s="52"/>
      <c r="AC2498" s="52"/>
      <c r="AD2498"/>
      <c r="AE2498"/>
    </row>
    <row r="2499" spans="28:31" x14ac:dyDescent="0.25">
      <c r="AB2499" s="52"/>
      <c r="AC2499" s="52"/>
      <c r="AD2499"/>
      <c r="AE2499"/>
    </row>
    <row r="2500" spans="28:31" x14ac:dyDescent="0.25">
      <c r="AB2500" s="52"/>
      <c r="AC2500" s="52"/>
      <c r="AD2500"/>
      <c r="AE2500"/>
    </row>
    <row r="2501" spans="28:31" x14ac:dyDescent="0.25">
      <c r="AB2501" s="52"/>
      <c r="AC2501" s="52"/>
      <c r="AD2501"/>
      <c r="AE2501"/>
    </row>
    <row r="2502" spans="28:31" x14ac:dyDescent="0.25">
      <c r="AB2502" s="52"/>
      <c r="AC2502" s="52"/>
      <c r="AD2502"/>
      <c r="AE2502"/>
    </row>
    <row r="2503" spans="28:31" x14ac:dyDescent="0.25">
      <c r="AB2503" s="52"/>
      <c r="AC2503" s="52"/>
      <c r="AD2503"/>
      <c r="AE2503"/>
    </row>
    <row r="2504" spans="28:31" x14ac:dyDescent="0.25">
      <c r="AB2504" s="52"/>
      <c r="AC2504" s="52"/>
      <c r="AD2504"/>
      <c r="AE2504"/>
    </row>
    <row r="2505" spans="28:31" x14ac:dyDescent="0.25">
      <c r="AB2505" s="52"/>
      <c r="AC2505" s="52"/>
      <c r="AD2505"/>
      <c r="AE2505"/>
    </row>
    <row r="2506" spans="28:31" x14ac:dyDescent="0.25">
      <c r="AB2506" s="52"/>
      <c r="AC2506" s="52"/>
      <c r="AD2506"/>
      <c r="AE2506"/>
    </row>
    <row r="2507" spans="28:31" x14ac:dyDescent="0.25">
      <c r="AB2507" s="52"/>
      <c r="AC2507" s="52"/>
      <c r="AD2507"/>
      <c r="AE2507"/>
    </row>
    <row r="2508" spans="28:31" x14ac:dyDescent="0.25">
      <c r="AB2508" s="52"/>
      <c r="AC2508" s="52"/>
      <c r="AD2508"/>
      <c r="AE2508"/>
    </row>
    <row r="2509" spans="28:31" x14ac:dyDescent="0.25">
      <c r="AB2509" s="52"/>
      <c r="AC2509" s="52"/>
      <c r="AD2509"/>
      <c r="AE2509"/>
    </row>
    <row r="2510" spans="28:31" x14ac:dyDescent="0.25">
      <c r="AB2510" s="52"/>
      <c r="AC2510" s="52"/>
      <c r="AD2510"/>
      <c r="AE2510"/>
    </row>
    <row r="2511" spans="28:31" x14ac:dyDescent="0.25">
      <c r="AB2511" s="52"/>
      <c r="AC2511" s="52"/>
      <c r="AD2511"/>
      <c r="AE2511"/>
    </row>
    <row r="2512" spans="28:31" x14ac:dyDescent="0.25">
      <c r="AB2512" s="52"/>
      <c r="AC2512" s="52"/>
      <c r="AD2512"/>
      <c r="AE2512"/>
    </row>
    <row r="2513" spans="28:31" x14ac:dyDescent="0.25">
      <c r="AB2513" s="52"/>
      <c r="AC2513" s="52"/>
      <c r="AD2513"/>
      <c r="AE2513"/>
    </row>
    <row r="2514" spans="28:31" x14ac:dyDescent="0.25">
      <c r="AB2514" s="52"/>
      <c r="AC2514" s="52"/>
      <c r="AD2514"/>
      <c r="AE2514"/>
    </row>
    <row r="2515" spans="28:31" x14ac:dyDescent="0.25">
      <c r="AB2515" s="52"/>
      <c r="AC2515" s="52"/>
      <c r="AD2515"/>
      <c r="AE2515"/>
    </row>
    <row r="2516" spans="28:31" x14ac:dyDescent="0.25">
      <c r="AB2516" s="52"/>
      <c r="AC2516" s="52"/>
      <c r="AD2516"/>
      <c r="AE2516"/>
    </row>
    <row r="2517" spans="28:31" x14ac:dyDescent="0.25">
      <c r="AB2517" s="52"/>
      <c r="AC2517" s="52"/>
      <c r="AD2517"/>
      <c r="AE2517"/>
    </row>
    <row r="2518" spans="28:31" x14ac:dyDescent="0.25">
      <c r="AB2518" s="52"/>
      <c r="AC2518" s="52"/>
      <c r="AD2518"/>
      <c r="AE2518"/>
    </row>
    <row r="2519" spans="28:31" x14ac:dyDescent="0.25">
      <c r="AB2519" s="52"/>
      <c r="AC2519" s="52"/>
      <c r="AD2519"/>
      <c r="AE2519"/>
    </row>
    <row r="2520" spans="28:31" x14ac:dyDescent="0.25">
      <c r="AB2520" s="52"/>
      <c r="AC2520" s="52"/>
      <c r="AD2520"/>
      <c r="AE2520"/>
    </row>
    <row r="2521" spans="28:31" x14ac:dyDescent="0.25">
      <c r="AB2521" s="52"/>
      <c r="AC2521" s="52"/>
      <c r="AD2521"/>
      <c r="AE2521"/>
    </row>
    <row r="2522" spans="28:31" x14ac:dyDescent="0.25">
      <c r="AB2522" s="52"/>
      <c r="AC2522" s="52"/>
      <c r="AD2522"/>
      <c r="AE2522"/>
    </row>
    <row r="2523" spans="28:31" x14ac:dyDescent="0.25">
      <c r="AB2523" s="52"/>
      <c r="AC2523" s="52"/>
      <c r="AD2523"/>
      <c r="AE2523"/>
    </row>
    <row r="2524" spans="28:31" x14ac:dyDescent="0.25">
      <c r="AB2524" s="52"/>
      <c r="AC2524" s="52"/>
      <c r="AD2524"/>
      <c r="AE2524"/>
    </row>
    <row r="2525" spans="28:31" x14ac:dyDescent="0.25">
      <c r="AB2525" s="52"/>
      <c r="AC2525" s="52"/>
      <c r="AD2525"/>
      <c r="AE2525"/>
    </row>
    <row r="2526" spans="28:31" x14ac:dyDescent="0.25">
      <c r="AB2526" s="52"/>
      <c r="AC2526" s="52"/>
      <c r="AD2526"/>
      <c r="AE2526"/>
    </row>
    <row r="2527" spans="28:31" x14ac:dyDescent="0.25">
      <c r="AB2527" s="52"/>
      <c r="AC2527" s="52"/>
      <c r="AD2527"/>
      <c r="AE2527"/>
    </row>
    <row r="2528" spans="28:31" x14ac:dyDescent="0.25">
      <c r="AB2528" s="52"/>
      <c r="AC2528" s="52"/>
      <c r="AD2528"/>
      <c r="AE2528"/>
    </row>
    <row r="2529" spans="28:31" x14ac:dyDescent="0.25">
      <c r="AB2529" s="52"/>
      <c r="AC2529" s="52"/>
      <c r="AD2529"/>
      <c r="AE2529"/>
    </row>
    <row r="2530" spans="28:31" x14ac:dyDescent="0.25">
      <c r="AB2530" s="52"/>
      <c r="AC2530" s="52"/>
      <c r="AD2530"/>
      <c r="AE2530"/>
    </row>
    <row r="2531" spans="28:31" x14ac:dyDescent="0.25">
      <c r="AB2531" s="52"/>
      <c r="AC2531" s="52"/>
      <c r="AD2531"/>
      <c r="AE2531"/>
    </row>
    <row r="2532" spans="28:31" x14ac:dyDescent="0.25">
      <c r="AB2532" s="52"/>
      <c r="AC2532" s="52"/>
      <c r="AD2532"/>
      <c r="AE2532"/>
    </row>
    <row r="2533" spans="28:31" x14ac:dyDescent="0.25">
      <c r="AB2533" s="52"/>
      <c r="AC2533" s="52"/>
      <c r="AD2533"/>
      <c r="AE2533"/>
    </row>
    <row r="2534" spans="28:31" x14ac:dyDescent="0.25">
      <c r="AB2534" s="52"/>
      <c r="AC2534" s="52"/>
      <c r="AD2534"/>
      <c r="AE2534"/>
    </row>
    <row r="2535" spans="28:31" x14ac:dyDescent="0.25">
      <c r="AB2535" s="52"/>
      <c r="AC2535" s="52"/>
      <c r="AD2535"/>
      <c r="AE2535"/>
    </row>
    <row r="2536" spans="28:31" x14ac:dyDescent="0.25">
      <c r="AB2536" s="52"/>
      <c r="AC2536" s="52"/>
      <c r="AD2536"/>
      <c r="AE2536"/>
    </row>
    <row r="2537" spans="28:31" x14ac:dyDescent="0.25">
      <c r="AB2537" s="52"/>
      <c r="AC2537" s="52"/>
      <c r="AD2537"/>
      <c r="AE2537"/>
    </row>
    <row r="2538" spans="28:31" x14ac:dyDescent="0.25">
      <c r="AB2538" s="52"/>
      <c r="AC2538" s="52"/>
      <c r="AD2538"/>
      <c r="AE2538"/>
    </row>
    <row r="2539" spans="28:31" x14ac:dyDescent="0.25">
      <c r="AB2539" s="52"/>
      <c r="AC2539" s="52"/>
      <c r="AD2539"/>
      <c r="AE2539"/>
    </row>
    <row r="2540" spans="28:31" x14ac:dyDescent="0.25">
      <c r="AB2540" s="52"/>
      <c r="AC2540" s="52"/>
      <c r="AD2540"/>
      <c r="AE2540"/>
    </row>
    <row r="2541" spans="28:31" x14ac:dyDescent="0.25">
      <c r="AB2541" s="52"/>
      <c r="AC2541" s="52"/>
      <c r="AD2541"/>
      <c r="AE2541"/>
    </row>
    <row r="2542" spans="28:31" x14ac:dyDescent="0.25">
      <c r="AB2542" s="52"/>
      <c r="AC2542" s="52"/>
      <c r="AD2542"/>
      <c r="AE2542"/>
    </row>
    <row r="2543" spans="28:31" x14ac:dyDescent="0.25">
      <c r="AB2543" s="52"/>
      <c r="AC2543" s="52"/>
      <c r="AD2543"/>
      <c r="AE2543"/>
    </row>
    <row r="2544" spans="28:31" x14ac:dyDescent="0.25">
      <c r="AB2544" s="52"/>
      <c r="AC2544" s="52"/>
      <c r="AD2544"/>
      <c r="AE2544"/>
    </row>
    <row r="2545" spans="28:31" x14ac:dyDescent="0.25">
      <c r="AB2545" s="52"/>
      <c r="AC2545" s="52"/>
      <c r="AD2545"/>
      <c r="AE2545"/>
    </row>
    <row r="2546" spans="28:31" x14ac:dyDescent="0.25">
      <c r="AB2546" s="52"/>
      <c r="AC2546" s="52"/>
      <c r="AD2546"/>
      <c r="AE2546"/>
    </row>
    <row r="2547" spans="28:31" x14ac:dyDescent="0.25">
      <c r="AB2547" s="52"/>
      <c r="AC2547" s="52"/>
      <c r="AD2547"/>
      <c r="AE2547"/>
    </row>
    <row r="2548" spans="28:31" x14ac:dyDescent="0.25">
      <c r="AB2548" s="52"/>
      <c r="AC2548" s="52"/>
      <c r="AD2548"/>
      <c r="AE2548"/>
    </row>
    <row r="2549" spans="28:31" x14ac:dyDescent="0.25">
      <c r="AB2549" s="52"/>
      <c r="AC2549" s="52"/>
      <c r="AD2549"/>
      <c r="AE2549"/>
    </row>
    <row r="2550" spans="28:31" x14ac:dyDescent="0.25">
      <c r="AB2550" s="52"/>
      <c r="AC2550" s="52"/>
      <c r="AD2550"/>
      <c r="AE2550"/>
    </row>
    <row r="2551" spans="28:31" x14ac:dyDescent="0.25">
      <c r="AB2551" s="52"/>
      <c r="AC2551" s="52"/>
      <c r="AD2551"/>
      <c r="AE2551"/>
    </row>
    <row r="2552" spans="28:31" x14ac:dyDescent="0.25">
      <c r="AB2552" s="52"/>
      <c r="AC2552" s="52"/>
      <c r="AD2552"/>
      <c r="AE2552"/>
    </row>
    <row r="2553" spans="28:31" x14ac:dyDescent="0.25">
      <c r="AB2553" s="52"/>
      <c r="AC2553" s="52"/>
      <c r="AD2553"/>
      <c r="AE2553"/>
    </row>
    <row r="2554" spans="28:31" x14ac:dyDescent="0.25">
      <c r="AB2554" s="52"/>
      <c r="AC2554" s="52"/>
      <c r="AD2554"/>
      <c r="AE2554"/>
    </row>
    <row r="2555" spans="28:31" x14ac:dyDescent="0.25">
      <c r="AB2555" s="52"/>
      <c r="AC2555" s="52"/>
      <c r="AD2555"/>
      <c r="AE2555"/>
    </row>
    <row r="2556" spans="28:31" x14ac:dyDescent="0.25">
      <c r="AB2556" s="52"/>
      <c r="AC2556" s="52"/>
      <c r="AD2556"/>
      <c r="AE2556"/>
    </row>
    <row r="2557" spans="28:31" x14ac:dyDescent="0.25">
      <c r="AB2557" s="52"/>
      <c r="AC2557" s="52"/>
      <c r="AD2557"/>
      <c r="AE2557"/>
    </row>
    <row r="2558" spans="28:31" x14ac:dyDescent="0.25">
      <c r="AB2558" s="52"/>
      <c r="AC2558" s="52"/>
      <c r="AD2558"/>
      <c r="AE2558"/>
    </row>
    <row r="2559" spans="28:31" x14ac:dyDescent="0.25">
      <c r="AB2559" s="52"/>
      <c r="AC2559" s="52"/>
      <c r="AD2559"/>
      <c r="AE2559"/>
    </row>
    <row r="2560" spans="28:31" x14ac:dyDescent="0.25">
      <c r="AB2560" s="52"/>
      <c r="AC2560" s="52"/>
      <c r="AD2560"/>
      <c r="AE2560"/>
    </row>
    <row r="2561" spans="28:31" x14ac:dyDescent="0.25">
      <c r="AB2561" s="52"/>
      <c r="AC2561" s="52"/>
      <c r="AD2561"/>
      <c r="AE2561"/>
    </row>
    <row r="2562" spans="28:31" x14ac:dyDescent="0.25">
      <c r="AB2562" s="52"/>
      <c r="AC2562" s="52"/>
      <c r="AD2562"/>
      <c r="AE2562"/>
    </row>
    <row r="2563" spans="28:31" x14ac:dyDescent="0.25">
      <c r="AB2563" s="52"/>
      <c r="AC2563" s="52"/>
      <c r="AD2563"/>
      <c r="AE2563"/>
    </row>
    <row r="2564" spans="28:31" x14ac:dyDescent="0.25">
      <c r="AB2564" s="52"/>
      <c r="AC2564" s="52"/>
      <c r="AD2564"/>
      <c r="AE2564"/>
    </row>
    <row r="2565" spans="28:31" x14ac:dyDescent="0.25">
      <c r="AB2565" s="52"/>
      <c r="AC2565" s="52"/>
      <c r="AD2565"/>
      <c r="AE2565"/>
    </row>
    <row r="2566" spans="28:31" x14ac:dyDescent="0.25">
      <c r="AB2566" s="52"/>
      <c r="AC2566" s="52"/>
      <c r="AD2566"/>
      <c r="AE2566"/>
    </row>
    <row r="2567" spans="28:31" x14ac:dyDescent="0.25">
      <c r="AB2567" s="52"/>
      <c r="AC2567" s="52"/>
      <c r="AD2567"/>
      <c r="AE2567"/>
    </row>
    <row r="2568" spans="28:31" x14ac:dyDescent="0.25">
      <c r="AB2568" s="52"/>
      <c r="AC2568" s="52"/>
      <c r="AD2568"/>
      <c r="AE2568"/>
    </row>
    <row r="2569" spans="28:31" x14ac:dyDescent="0.25">
      <c r="AB2569" s="52"/>
      <c r="AC2569" s="52"/>
      <c r="AD2569"/>
      <c r="AE2569"/>
    </row>
    <row r="2570" spans="28:31" x14ac:dyDescent="0.25">
      <c r="AB2570" s="52"/>
      <c r="AC2570" s="52"/>
      <c r="AD2570"/>
      <c r="AE2570"/>
    </row>
    <row r="2571" spans="28:31" x14ac:dyDescent="0.25">
      <c r="AB2571" s="52"/>
      <c r="AC2571" s="52"/>
      <c r="AD2571"/>
      <c r="AE2571"/>
    </row>
    <row r="2572" spans="28:31" x14ac:dyDescent="0.25">
      <c r="AB2572" s="52"/>
      <c r="AC2572" s="52"/>
      <c r="AD2572"/>
      <c r="AE2572"/>
    </row>
    <row r="2573" spans="28:31" x14ac:dyDescent="0.25">
      <c r="AB2573" s="52"/>
      <c r="AC2573" s="52"/>
      <c r="AD2573"/>
      <c r="AE2573"/>
    </row>
    <row r="2574" spans="28:31" x14ac:dyDescent="0.25">
      <c r="AB2574" s="52"/>
      <c r="AC2574" s="52"/>
      <c r="AD2574"/>
      <c r="AE2574"/>
    </row>
    <row r="2575" spans="28:31" x14ac:dyDescent="0.25">
      <c r="AB2575" s="52"/>
      <c r="AC2575" s="52"/>
      <c r="AD2575"/>
      <c r="AE2575"/>
    </row>
    <row r="2576" spans="28:31" x14ac:dyDescent="0.25">
      <c r="AB2576" s="52"/>
      <c r="AC2576" s="52"/>
      <c r="AD2576"/>
      <c r="AE2576"/>
    </row>
    <row r="2577" spans="28:31" x14ac:dyDescent="0.25">
      <c r="AB2577" s="52"/>
      <c r="AC2577" s="52"/>
      <c r="AD2577"/>
      <c r="AE2577"/>
    </row>
    <row r="2578" spans="28:31" x14ac:dyDescent="0.25">
      <c r="AB2578" s="52"/>
      <c r="AC2578" s="52"/>
      <c r="AD2578"/>
      <c r="AE2578"/>
    </row>
    <row r="2579" spans="28:31" x14ac:dyDescent="0.25">
      <c r="AB2579" s="52"/>
      <c r="AC2579" s="52"/>
      <c r="AD2579"/>
      <c r="AE2579"/>
    </row>
    <row r="2580" spans="28:31" x14ac:dyDescent="0.25">
      <c r="AB2580" s="52"/>
      <c r="AC2580" s="52"/>
      <c r="AD2580"/>
      <c r="AE2580"/>
    </row>
    <row r="2581" spans="28:31" x14ac:dyDescent="0.25">
      <c r="AB2581" s="52"/>
      <c r="AC2581" s="52"/>
      <c r="AD2581"/>
      <c r="AE2581"/>
    </row>
    <row r="2582" spans="28:31" x14ac:dyDescent="0.25">
      <c r="AB2582" s="52"/>
      <c r="AC2582" s="52"/>
      <c r="AD2582"/>
      <c r="AE2582"/>
    </row>
    <row r="2583" spans="28:31" x14ac:dyDescent="0.25">
      <c r="AB2583" s="52"/>
      <c r="AC2583" s="52"/>
      <c r="AD2583"/>
      <c r="AE2583"/>
    </row>
    <row r="2584" spans="28:31" x14ac:dyDescent="0.25">
      <c r="AB2584" s="52"/>
      <c r="AC2584" s="52"/>
      <c r="AD2584"/>
      <c r="AE2584"/>
    </row>
    <row r="2585" spans="28:31" x14ac:dyDescent="0.25">
      <c r="AB2585" s="52"/>
      <c r="AC2585" s="52"/>
      <c r="AD2585"/>
      <c r="AE2585"/>
    </row>
    <row r="2586" spans="28:31" x14ac:dyDescent="0.25">
      <c r="AB2586" s="52"/>
      <c r="AC2586" s="52"/>
      <c r="AD2586"/>
      <c r="AE2586"/>
    </row>
    <row r="2587" spans="28:31" x14ac:dyDescent="0.25">
      <c r="AB2587" s="52"/>
      <c r="AC2587" s="52"/>
      <c r="AD2587"/>
      <c r="AE2587"/>
    </row>
    <row r="2588" spans="28:31" x14ac:dyDescent="0.25">
      <c r="AB2588" s="52"/>
      <c r="AC2588" s="52"/>
      <c r="AD2588"/>
      <c r="AE2588"/>
    </row>
    <row r="2589" spans="28:31" x14ac:dyDescent="0.25">
      <c r="AB2589" s="52"/>
      <c r="AC2589" s="52"/>
      <c r="AD2589"/>
      <c r="AE2589"/>
    </row>
    <row r="2590" spans="28:31" x14ac:dyDescent="0.25">
      <c r="AB2590" s="52"/>
      <c r="AC2590" s="52"/>
      <c r="AD2590"/>
      <c r="AE2590"/>
    </row>
    <row r="2591" spans="28:31" x14ac:dyDescent="0.25">
      <c r="AB2591" s="52"/>
      <c r="AC2591" s="52"/>
      <c r="AD2591"/>
      <c r="AE2591"/>
    </row>
    <row r="2592" spans="28:31" x14ac:dyDescent="0.25">
      <c r="AB2592" s="52"/>
      <c r="AC2592" s="52"/>
      <c r="AD2592"/>
      <c r="AE2592"/>
    </row>
    <row r="2593" spans="28:31" x14ac:dyDescent="0.25">
      <c r="AB2593" s="52"/>
      <c r="AC2593" s="52"/>
      <c r="AD2593"/>
      <c r="AE2593"/>
    </row>
    <row r="2594" spans="28:31" x14ac:dyDescent="0.25">
      <c r="AB2594" s="52"/>
      <c r="AC2594" s="52"/>
      <c r="AD2594"/>
      <c r="AE2594"/>
    </row>
    <row r="2595" spans="28:31" x14ac:dyDescent="0.25">
      <c r="AB2595" s="52"/>
      <c r="AC2595" s="52"/>
      <c r="AD2595"/>
      <c r="AE2595"/>
    </row>
    <row r="2596" spans="28:31" x14ac:dyDescent="0.25">
      <c r="AB2596" s="52"/>
      <c r="AC2596" s="52"/>
      <c r="AD2596"/>
      <c r="AE2596"/>
    </row>
    <row r="2597" spans="28:31" x14ac:dyDescent="0.25">
      <c r="AB2597" s="52"/>
      <c r="AC2597" s="52"/>
      <c r="AD2597"/>
      <c r="AE2597"/>
    </row>
    <row r="2598" spans="28:31" x14ac:dyDescent="0.25">
      <c r="AB2598" s="52"/>
      <c r="AC2598" s="52"/>
      <c r="AD2598"/>
      <c r="AE2598"/>
    </row>
    <row r="2599" spans="28:31" x14ac:dyDescent="0.25">
      <c r="AB2599" s="52"/>
      <c r="AC2599" s="52"/>
      <c r="AD2599"/>
      <c r="AE2599"/>
    </row>
    <row r="2600" spans="28:31" x14ac:dyDescent="0.25">
      <c r="AB2600" s="52"/>
      <c r="AC2600" s="52"/>
      <c r="AD2600"/>
      <c r="AE2600"/>
    </row>
    <row r="2601" spans="28:31" x14ac:dyDescent="0.25">
      <c r="AB2601" s="52"/>
      <c r="AC2601" s="52"/>
      <c r="AD2601"/>
      <c r="AE2601"/>
    </row>
    <row r="2602" spans="28:31" x14ac:dyDescent="0.25">
      <c r="AB2602" s="52"/>
      <c r="AC2602" s="52"/>
      <c r="AD2602"/>
      <c r="AE2602"/>
    </row>
    <row r="2603" spans="28:31" x14ac:dyDescent="0.25">
      <c r="AB2603" s="52"/>
      <c r="AC2603" s="52"/>
      <c r="AD2603"/>
      <c r="AE2603"/>
    </row>
    <row r="2604" spans="28:31" x14ac:dyDescent="0.25">
      <c r="AB2604" s="52"/>
      <c r="AC2604" s="52"/>
      <c r="AD2604"/>
      <c r="AE2604"/>
    </row>
    <row r="2605" spans="28:31" x14ac:dyDescent="0.25">
      <c r="AB2605" s="52"/>
      <c r="AC2605" s="52"/>
      <c r="AD2605"/>
      <c r="AE2605"/>
    </row>
    <row r="2606" spans="28:31" x14ac:dyDescent="0.25">
      <c r="AB2606" s="52"/>
      <c r="AC2606" s="52"/>
      <c r="AD2606"/>
      <c r="AE2606"/>
    </row>
    <row r="2607" spans="28:31" x14ac:dyDescent="0.25">
      <c r="AB2607" s="52"/>
      <c r="AC2607" s="52"/>
      <c r="AD2607"/>
      <c r="AE2607"/>
    </row>
    <row r="2608" spans="28:31" x14ac:dyDescent="0.25">
      <c r="AB2608" s="52"/>
      <c r="AC2608" s="52"/>
      <c r="AD2608"/>
      <c r="AE2608"/>
    </row>
    <row r="2609" spans="28:31" x14ac:dyDescent="0.25">
      <c r="AB2609" s="52"/>
      <c r="AC2609" s="52"/>
      <c r="AD2609"/>
      <c r="AE2609"/>
    </row>
    <row r="2610" spans="28:31" x14ac:dyDescent="0.25">
      <c r="AB2610" s="52"/>
      <c r="AC2610" s="52"/>
      <c r="AD2610"/>
      <c r="AE2610"/>
    </row>
    <row r="2611" spans="28:31" x14ac:dyDescent="0.25">
      <c r="AB2611" s="52"/>
      <c r="AC2611" s="52"/>
      <c r="AD2611"/>
      <c r="AE2611"/>
    </row>
    <row r="2612" spans="28:31" x14ac:dyDescent="0.25">
      <c r="AB2612" s="52"/>
      <c r="AC2612" s="52"/>
      <c r="AD2612"/>
      <c r="AE2612"/>
    </row>
    <row r="2613" spans="28:31" x14ac:dyDescent="0.25">
      <c r="AB2613" s="52"/>
      <c r="AC2613" s="52"/>
      <c r="AD2613"/>
      <c r="AE2613"/>
    </row>
    <row r="2614" spans="28:31" x14ac:dyDescent="0.25">
      <c r="AB2614" s="52"/>
      <c r="AC2614" s="52"/>
      <c r="AD2614"/>
      <c r="AE2614"/>
    </row>
    <row r="2615" spans="28:31" x14ac:dyDescent="0.25">
      <c r="AB2615" s="52"/>
      <c r="AC2615" s="52"/>
      <c r="AD2615"/>
      <c r="AE2615"/>
    </row>
    <row r="2616" spans="28:31" x14ac:dyDescent="0.25">
      <c r="AB2616" s="52"/>
      <c r="AC2616" s="52"/>
      <c r="AD2616"/>
      <c r="AE2616"/>
    </row>
    <row r="2617" spans="28:31" x14ac:dyDescent="0.25">
      <c r="AB2617" s="52"/>
      <c r="AC2617" s="52"/>
      <c r="AD2617"/>
      <c r="AE2617"/>
    </row>
    <row r="2618" spans="28:31" x14ac:dyDescent="0.25">
      <c r="AB2618" s="52"/>
      <c r="AC2618" s="52"/>
      <c r="AD2618"/>
      <c r="AE2618"/>
    </row>
    <row r="2619" spans="28:31" x14ac:dyDescent="0.25">
      <c r="AB2619" s="52"/>
      <c r="AC2619" s="52"/>
      <c r="AD2619"/>
      <c r="AE2619"/>
    </row>
    <row r="2620" spans="28:31" x14ac:dyDescent="0.25">
      <c r="AB2620" s="52"/>
      <c r="AC2620" s="52"/>
      <c r="AD2620"/>
      <c r="AE2620"/>
    </row>
    <row r="2621" spans="28:31" x14ac:dyDescent="0.25">
      <c r="AB2621" s="52"/>
      <c r="AC2621" s="52"/>
      <c r="AD2621"/>
      <c r="AE2621"/>
    </row>
    <row r="2622" spans="28:31" x14ac:dyDescent="0.25">
      <c r="AB2622" s="52"/>
      <c r="AC2622" s="52"/>
      <c r="AD2622"/>
      <c r="AE2622"/>
    </row>
    <row r="2623" spans="28:31" x14ac:dyDescent="0.25">
      <c r="AB2623" s="52"/>
      <c r="AC2623" s="52"/>
      <c r="AD2623"/>
      <c r="AE2623"/>
    </row>
    <row r="2624" spans="28:31" x14ac:dyDescent="0.25">
      <c r="AB2624" s="52"/>
      <c r="AC2624" s="52"/>
      <c r="AD2624"/>
      <c r="AE2624"/>
    </row>
    <row r="2625" spans="28:31" x14ac:dyDescent="0.25">
      <c r="AB2625" s="52"/>
      <c r="AC2625" s="52"/>
      <c r="AD2625"/>
      <c r="AE2625"/>
    </row>
    <row r="2626" spans="28:31" x14ac:dyDescent="0.25">
      <c r="AB2626" s="52"/>
      <c r="AC2626" s="52"/>
      <c r="AD2626"/>
      <c r="AE2626"/>
    </row>
    <row r="2627" spans="28:31" x14ac:dyDescent="0.25">
      <c r="AB2627" s="52"/>
      <c r="AC2627" s="52"/>
      <c r="AD2627"/>
      <c r="AE2627"/>
    </row>
    <row r="2628" spans="28:31" x14ac:dyDescent="0.25">
      <c r="AB2628" s="52"/>
      <c r="AC2628" s="52"/>
      <c r="AD2628"/>
      <c r="AE2628"/>
    </row>
    <row r="2629" spans="28:31" x14ac:dyDescent="0.25">
      <c r="AB2629" s="52"/>
      <c r="AC2629" s="52"/>
      <c r="AD2629"/>
      <c r="AE2629"/>
    </row>
    <row r="2630" spans="28:31" x14ac:dyDescent="0.25">
      <c r="AB2630" s="52"/>
      <c r="AC2630" s="52"/>
      <c r="AD2630"/>
      <c r="AE2630"/>
    </row>
    <row r="2631" spans="28:31" x14ac:dyDescent="0.25">
      <c r="AB2631" s="52"/>
      <c r="AC2631" s="52"/>
      <c r="AD2631"/>
      <c r="AE2631"/>
    </row>
    <row r="2632" spans="28:31" x14ac:dyDescent="0.25">
      <c r="AB2632" s="52"/>
      <c r="AC2632" s="52"/>
      <c r="AD2632"/>
      <c r="AE2632"/>
    </row>
    <row r="2633" spans="28:31" x14ac:dyDescent="0.25">
      <c r="AB2633" s="52"/>
      <c r="AC2633" s="52"/>
      <c r="AD2633"/>
      <c r="AE2633"/>
    </row>
    <row r="2634" spans="28:31" x14ac:dyDescent="0.25">
      <c r="AB2634" s="52"/>
      <c r="AC2634" s="52"/>
      <c r="AD2634"/>
      <c r="AE2634"/>
    </row>
    <row r="2635" spans="28:31" x14ac:dyDescent="0.25">
      <c r="AB2635" s="52"/>
      <c r="AC2635" s="52"/>
      <c r="AD2635"/>
      <c r="AE2635"/>
    </row>
    <row r="2636" spans="28:31" x14ac:dyDescent="0.25">
      <c r="AB2636" s="52"/>
      <c r="AC2636" s="52"/>
      <c r="AD2636"/>
      <c r="AE2636"/>
    </row>
    <row r="2637" spans="28:31" x14ac:dyDescent="0.25">
      <c r="AB2637" s="52"/>
      <c r="AC2637" s="52"/>
      <c r="AD2637"/>
      <c r="AE2637"/>
    </row>
    <row r="2638" spans="28:31" x14ac:dyDescent="0.25">
      <c r="AB2638" s="52"/>
      <c r="AC2638" s="52"/>
      <c r="AD2638"/>
      <c r="AE2638"/>
    </row>
    <row r="2639" spans="28:31" x14ac:dyDescent="0.25">
      <c r="AB2639" s="52"/>
      <c r="AC2639" s="52"/>
      <c r="AD2639"/>
      <c r="AE2639"/>
    </row>
    <row r="2640" spans="28:31" x14ac:dyDescent="0.25">
      <c r="AB2640" s="52"/>
      <c r="AC2640" s="52"/>
      <c r="AD2640"/>
      <c r="AE2640"/>
    </row>
    <row r="2641" spans="28:31" x14ac:dyDescent="0.25">
      <c r="AB2641" s="52"/>
      <c r="AC2641" s="52"/>
      <c r="AD2641"/>
      <c r="AE2641"/>
    </row>
    <row r="2642" spans="28:31" x14ac:dyDescent="0.25">
      <c r="AB2642" s="52"/>
      <c r="AC2642" s="52"/>
      <c r="AD2642"/>
      <c r="AE2642"/>
    </row>
    <row r="2643" spans="28:31" x14ac:dyDescent="0.25">
      <c r="AB2643" s="52"/>
      <c r="AC2643" s="52"/>
      <c r="AD2643"/>
      <c r="AE2643"/>
    </row>
    <row r="2644" spans="28:31" x14ac:dyDescent="0.25">
      <c r="AB2644" s="52"/>
      <c r="AC2644" s="52"/>
      <c r="AD2644"/>
      <c r="AE2644"/>
    </row>
    <row r="2645" spans="28:31" x14ac:dyDescent="0.25">
      <c r="AB2645" s="52"/>
      <c r="AC2645" s="52"/>
      <c r="AD2645"/>
      <c r="AE2645"/>
    </row>
    <row r="2646" spans="28:31" x14ac:dyDescent="0.25">
      <c r="AB2646" s="52"/>
      <c r="AC2646" s="52"/>
      <c r="AD2646"/>
      <c r="AE2646"/>
    </row>
    <row r="2647" spans="28:31" x14ac:dyDescent="0.25">
      <c r="AB2647" s="52"/>
      <c r="AC2647" s="52"/>
      <c r="AD2647"/>
      <c r="AE2647"/>
    </row>
    <row r="2648" spans="28:31" x14ac:dyDescent="0.25">
      <c r="AB2648" s="52"/>
      <c r="AC2648" s="52"/>
      <c r="AD2648"/>
      <c r="AE2648"/>
    </row>
    <row r="2649" spans="28:31" x14ac:dyDescent="0.25">
      <c r="AB2649" s="52"/>
      <c r="AC2649" s="52"/>
      <c r="AD2649"/>
      <c r="AE2649"/>
    </row>
    <row r="2650" spans="28:31" x14ac:dyDescent="0.25">
      <c r="AB2650" s="52"/>
      <c r="AC2650" s="52"/>
      <c r="AD2650"/>
      <c r="AE2650"/>
    </row>
    <row r="2651" spans="28:31" x14ac:dyDescent="0.25">
      <c r="AB2651" s="52"/>
      <c r="AC2651" s="52"/>
      <c r="AD2651"/>
      <c r="AE2651"/>
    </row>
    <row r="2652" spans="28:31" x14ac:dyDescent="0.25">
      <c r="AB2652" s="52"/>
      <c r="AC2652" s="52"/>
      <c r="AD2652"/>
      <c r="AE2652"/>
    </row>
    <row r="2653" spans="28:31" x14ac:dyDescent="0.25">
      <c r="AB2653" s="52"/>
      <c r="AC2653" s="52"/>
      <c r="AD2653"/>
      <c r="AE2653"/>
    </row>
    <row r="2654" spans="28:31" x14ac:dyDescent="0.25">
      <c r="AB2654" s="52"/>
      <c r="AC2654" s="52"/>
      <c r="AD2654"/>
      <c r="AE2654"/>
    </row>
    <row r="2655" spans="28:31" x14ac:dyDescent="0.25">
      <c r="AB2655" s="52"/>
      <c r="AC2655" s="52"/>
      <c r="AD2655"/>
      <c r="AE2655"/>
    </row>
    <row r="2656" spans="28:31" x14ac:dyDescent="0.25">
      <c r="AB2656" s="52"/>
      <c r="AC2656" s="52"/>
      <c r="AD2656"/>
      <c r="AE2656"/>
    </row>
    <row r="2657" spans="28:31" x14ac:dyDescent="0.25">
      <c r="AB2657" s="52"/>
      <c r="AC2657" s="52"/>
      <c r="AD2657"/>
      <c r="AE2657"/>
    </row>
    <row r="2658" spans="28:31" x14ac:dyDescent="0.25">
      <c r="AB2658" s="52"/>
      <c r="AC2658" s="52"/>
      <c r="AD2658"/>
      <c r="AE2658"/>
    </row>
    <row r="2659" spans="28:31" x14ac:dyDescent="0.25">
      <c r="AB2659" s="52"/>
      <c r="AC2659" s="52"/>
      <c r="AD2659"/>
      <c r="AE2659"/>
    </row>
    <row r="2660" spans="28:31" x14ac:dyDescent="0.25">
      <c r="AB2660" s="52"/>
      <c r="AC2660" s="52"/>
      <c r="AD2660"/>
      <c r="AE2660"/>
    </row>
    <row r="2661" spans="28:31" x14ac:dyDescent="0.25">
      <c r="AB2661" s="52"/>
      <c r="AC2661" s="52"/>
      <c r="AD2661"/>
      <c r="AE2661"/>
    </row>
    <row r="2662" spans="28:31" x14ac:dyDescent="0.25">
      <c r="AB2662" s="52"/>
      <c r="AC2662" s="52"/>
      <c r="AD2662"/>
      <c r="AE2662"/>
    </row>
    <row r="2663" spans="28:31" x14ac:dyDescent="0.25">
      <c r="AB2663" s="52"/>
      <c r="AC2663" s="52"/>
      <c r="AD2663"/>
      <c r="AE2663"/>
    </row>
    <row r="2664" spans="28:31" x14ac:dyDescent="0.25">
      <c r="AB2664" s="52"/>
      <c r="AC2664" s="52"/>
      <c r="AD2664"/>
      <c r="AE2664"/>
    </row>
    <row r="2665" spans="28:31" x14ac:dyDescent="0.25">
      <c r="AB2665" s="52"/>
      <c r="AC2665" s="52"/>
      <c r="AD2665"/>
      <c r="AE2665"/>
    </row>
    <row r="2666" spans="28:31" x14ac:dyDescent="0.25">
      <c r="AB2666" s="52"/>
      <c r="AC2666" s="52"/>
      <c r="AD2666"/>
      <c r="AE2666"/>
    </row>
    <row r="2667" spans="28:31" x14ac:dyDescent="0.25">
      <c r="AB2667" s="52"/>
      <c r="AC2667" s="52"/>
      <c r="AD2667"/>
      <c r="AE2667"/>
    </row>
    <row r="2668" spans="28:31" x14ac:dyDescent="0.25">
      <c r="AB2668" s="52"/>
      <c r="AC2668" s="52"/>
      <c r="AD2668"/>
      <c r="AE2668"/>
    </row>
    <row r="2669" spans="28:31" x14ac:dyDescent="0.25">
      <c r="AB2669" s="52"/>
      <c r="AC2669" s="52"/>
      <c r="AD2669"/>
      <c r="AE2669"/>
    </row>
    <row r="2670" spans="28:31" x14ac:dyDescent="0.25">
      <c r="AB2670" s="52"/>
      <c r="AC2670" s="52"/>
      <c r="AD2670"/>
      <c r="AE2670"/>
    </row>
    <row r="2671" spans="28:31" x14ac:dyDescent="0.25">
      <c r="AB2671" s="52"/>
      <c r="AC2671" s="52"/>
      <c r="AD2671"/>
      <c r="AE2671"/>
    </row>
    <row r="2672" spans="28:31" x14ac:dyDescent="0.25">
      <c r="AB2672" s="52"/>
      <c r="AC2672" s="52"/>
      <c r="AD2672"/>
      <c r="AE2672"/>
    </row>
    <row r="2673" spans="28:31" x14ac:dyDescent="0.25">
      <c r="AB2673" s="52"/>
      <c r="AC2673" s="52"/>
      <c r="AD2673"/>
      <c r="AE2673"/>
    </row>
    <row r="2674" spans="28:31" x14ac:dyDescent="0.25">
      <c r="AB2674" s="52"/>
      <c r="AC2674" s="52"/>
      <c r="AD2674"/>
      <c r="AE2674"/>
    </row>
    <row r="2675" spans="28:31" x14ac:dyDescent="0.25">
      <c r="AB2675" s="52"/>
      <c r="AC2675" s="52"/>
      <c r="AD2675"/>
      <c r="AE2675"/>
    </row>
    <row r="2676" spans="28:31" x14ac:dyDescent="0.25">
      <c r="AB2676" s="52"/>
      <c r="AC2676" s="52"/>
      <c r="AD2676"/>
      <c r="AE2676"/>
    </row>
    <row r="2677" spans="28:31" x14ac:dyDescent="0.25">
      <c r="AB2677" s="52"/>
      <c r="AC2677" s="52"/>
      <c r="AD2677"/>
      <c r="AE2677"/>
    </row>
    <row r="2678" spans="28:31" x14ac:dyDescent="0.25">
      <c r="AB2678" s="52"/>
      <c r="AC2678" s="52"/>
      <c r="AD2678"/>
      <c r="AE2678"/>
    </row>
    <row r="2679" spans="28:31" x14ac:dyDescent="0.25">
      <c r="AB2679" s="52"/>
      <c r="AC2679" s="52"/>
      <c r="AD2679"/>
      <c r="AE2679"/>
    </row>
    <row r="2680" spans="28:31" x14ac:dyDescent="0.25">
      <c r="AB2680" s="52"/>
      <c r="AC2680" s="52"/>
      <c r="AD2680"/>
      <c r="AE2680"/>
    </row>
    <row r="2681" spans="28:31" x14ac:dyDescent="0.25">
      <c r="AB2681" s="52"/>
      <c r="AC2681" s="52"/>
      <c r="AD2681"/>
      <c r="AE2681"/>
    </row>
    <row r="2682" spans="28:31" x14ac:dyDescent="0.25">
      <c r="AB2682" s="52"/>
      <c r="AC2682" s="52"/>
      <c r="AD2682"/>
      <c r="AE2682"/>
    </row>
    <row r="2683" spans="28:31" x14ac:dyDescent="0.25">
      <c r="AB2683" s="52"/>
      <c r="AC2683" s="52"/>
      <c r="AD2683"/>
      <c r="AE2683"/>
    </row>
    <row r="2684" spans="28:31" x14ac:dyDescent="0.25">
      <c r="AB2684" s="52"/>
      <c r="AC2684" s="52"/>
      <c r="AD2684"/>
      <c r="AE2684"/>
    </row>
    <row r="2685" spans="28:31" x14ac:dyDescent="0.25">
      <c r="AB2685" s="52"/>
      <c r="AC2685" s="52"/>
      <c r="AD2685"/>
      <c r="AE2685"/>
    </row>
    <row r="2686" spans="28:31" x14ac:dyDescent="0.25">
      <c r="AB2686" s="52"/>
      <c r="AC2686" s="52"/>
      <c r="AD2686"/>
      <c r="AE2686"/>
    </row>
    <row r="2687" spans="28:31" x14ac:dyDescent="0.25">
      <c r="AB2687" s="52"/>
      <c r="AC2687" s="52"/>
      <c r="AD2687"/>
      <c r="AE2687"/>
    </row>
    <row r="2688" spans="28:31" x14ac:dyDescent="0.25">
      <c r="AB2688" s="52"/>
      <c r="AC2688" s="52"/>
      <c r="AD2688"/>
      <c r="AE2688"/>
    </row>
    <row r="2689" spans="28:31" x14ac:dyDescent="0.25">
      <c r="AB2689" s="52"/>
      <c r="AC2689" s="52"/>
      <c r="AD2689"/>
      <c r="AE2689"/>
    </row>
    <row r="2690" spans="28:31" x14ac:dyDescent="0.25">
      <c r="AB2690" s="52"/>
      <c r="AC2690" s="52"/>
      <c r="AD2690"/>
      <c r="AE2690"/>
    </row>
    <row r="2691" spans="28:31" x14ac:dyDescent="0.25">
      <c r="AB2691" s="52"/>
      <c r="AC2691" s="52"/>
      <c r="AD2691"/>
      <c r="AE2691"/>
    </row>
    <row r="2692" spans="28:31" x14ac:dyDescent="0.25">
      <c r="AB2692" s="52"/>
      <c r="AC2692" s="52"/>
      <c r="AD2692"/>
      <c r="AE2692"/>
    </row>
    <row r="2693" spans="28:31" x14ac:dyDescent="0.25">
      <c r="AB2693" s="52"/>
      <c r="AC2693" s="52"/>
      <c r="AD2693"/>
      <c r="AE2693"/>
    </row>
    <row r="2694" spans="28:31" x14ac:dyDescent="0.25">
      <c r="AB2694" s="52"/>
      <c r="AC2694" s="52"/>
      <c r="AD2694"/>
      <c r="AE2694"/>
    </row>
    <row r="2695" spans="28:31" x14ac:dyDescent="0.25">
      <c r="AB2695" s="52"/>
      <c r="AC2695" s="52"/>
      <c r="AD2695"/>
      <c r="AE2695"/>
    </row>
    <row r="2696" spans="28:31" x14ac:dyDescent="0.25">
      <c r="AB2696" s="52"/>
      <c r="AC2696" s="52"/>
      <c r="AD2696"/>
      <c r="AE2696"/>
    </row>
    <row r="2697" spans="28:31" x14ac:dyDescent="0.25">
      <c r="AB2697" s="52"/>
      <c r="AC2697" s="52"/>
      <c r="AD2697"/>
      <c r="AE2697"/>
    </row>
    <row r="2698" spans="28:31" x14ac:dyDescent="0.25">
      <c r="AB2698" s="52"/>
      <c r="AC2698" s="52"/>
      <c r="AD2698"/>
      <c r="AE2698"/>
    </row>
    <row r="2699" spans="28:31" x14ac:dyDescent="0.25">
      <c r="AB2699" s="52"/>
      <c r="AC2699" s="52"/>
      <c r="AD2699"/>
      <c r="AE2699"/>
    </row>
    <row r="2700" spans="28:31" x14ac:dyDescent="0.25">
      <c r="AB2700" s="52"/>
      <c r="AC2700" s="52"/>
      <c r="AD2700"/>
      <c r="AE2700"/>
    </row>
    <row r="2701" spans="28:31" x14ac:dyDescent="0.25">
      <c r="AB2701" s="52"/>
      <c r="AC2701" s="52"/>
      <c r="AD2701"/>
      <c r="AE2701"/>
    </row>
    <row r="2702" spans="28:31" x14ac:dyDescent="0.25">
      <c r="AB2702" s="52"/>
      <c r="AC2702" s="52"/>
      <c r="AD2702"/>
      <c r="AE2702"/>
    </row>
    <row r="2703" spans="28:31" x14ac:dyDescent="0.25">
      <c r="AB2703" s="52"/>
      <c r="AC2703" s="52"/>
      <c r="AD2703"/>
      <c r="AE2703"/>
    </row>
    <row r="2704" spans="28:31" x14ac:dyDescent="0.25">
      <c r="AB2704" s="52"/>
      <c r="AC2704" s="52"/>
      <c r="AD2704"/>
      <c r="AE2704"/>
    </row>
    <row r="2705" spans="28:31" x14ac:dyDescent="0.25">
      <c r="AB2705" s="52"/>
      <c r="AC2705" s="52"/>
      <c r="AD2705"/>
      <c r="AE2705"/>
    </row>
    <row r="2706" spans="28:31" x14ac:dyDescent="0.25">
      <c r="AB2706" s="52"/>
      <c r="AC2706" s="52"/>
      <c r="AD2706"/>
      <c r="AE2706"/>
    </row>
    <row r="2707" spans="28:31" x14ac:dyDescent="0.25">
      <c r="AB2707" s="52"/>
      <c r="AC2707" s="52"/>
      <c r="AD2707"/>
      <c r="AE2707"/>
    </row>
    <row r="2708" spans="28:31" x14ac:dyDescent="0.25">
      <c r="AB2708" s="52"/>
      <c r="AC2708" s="52"/>
      <c r="AD2708"/>
      <c r="AE2708"/>
    </row>
    <row r="2709" spans="28:31" x14ac:dyDescent="0.25">
      <c r="AB2709" s="52"/>
      <c r="AC2709" s="52"/>
      <c r="AD2709"/>
      <c r="AE2709"/>
    </row>
    <row r="2710" spans="28:31" x14ac:dyDescent="0.25">
      <c r="AB2710" s="52"/>
      <c r="AC2710" s="52"/>
      <c r="AD2710"/>
      <c r="AE2710"/>
    </row>
    <row r="2711" spans="28:31" x14ac:dyDescent="0.25">
      <c r="AB2711" s="52"/>
      <c r="AC2711" s="52"/>
      <c r="AD2711"/>
      <c r="AE2711"/>
    </row>
    <row r="2712" spans="28:31" x14ac:dyDescent="0.25">
      <c r="AB2712" s="52"/>
      <c r="AC2712" s="52"/>
      <c r="AD2712"/>
      <c r="AE2712"/>
    </row>
    <row r="2713" spans="28:31" x14ac:dyDescent="0.25">
      <c r="AB2713" s="52"/>
      <c r="AC2713" s="52"/>
      <c r="AD2713"/>
      <c r="AE2713"/>
    </row>
    <row r="2714" spans="28:31" x14ac:dyDescent="0.25">
      <c r="AB2714" s="52"/>
      <c r="AC2714" s="52"/>
      <c r="AD2714"/>
      <c r="AE2714"/>
    </row>
    <row r="2715" spans="28:31" x14ac:dyDescent="0.25">
      <c r="AB2715" s="52"/>
      <c r="AC2715" s="52"/>
      <c r="AD2715"/>
      <c r="AE2715"/>
    </row>
    <row r="2716" spans="28:31" x14ac:dyDescent="0.25">
      <c r="AB2716" s="52"/>
      <c r="AC2716" s="52"/>
      <c r="AD2716"/>
      <c r="AE2716"/>
    </row>
    <row r="2717" spans="28:31" x14ac:dyDescent="0.25">
      <c r="AB2717" s="52"/>
      <c r="AC2717" s="52"/>
      <c r="AD2717"/>
      <c r="AE2717"/>
    </row>
    <row r="2718" spans="28:31" x14ac:dyDescent="0.25">
      <c r="AB2718" s="52"/>
      <c r="AC2718" s="52"/>
      <c r="AD2718"/>
      <c r="AE2718"/>
    </row>
    <row r="2719" spans="28:31" x14ac:dyDescent="0.25">
      <c r="AB2719" s="52"/>
      <c r="AC2719" s="52"/>
      <c r="AD2719"/>
      <c r="AE2719"/>
    </row>
    <row r="2720" spans="28:31" x14ac:dyDescent="0.25">
      <c r="AB2720" s="52"/>
      <c r="AC2720" s="52"/>
      <c r="AD2720"/>
      <c r="AE2720"/>
    </row>
    <row r="2721" spans="28:31" x14ac:dyDescent="0.25">
      <c r="AB2721" s="52"/>
      <c r="AC2721" s="52"/>
      <c r="AD2721"/>
      <c r="AE2721"/>
    </row>
    <row r="2722" spans="28:31" x14ac:dyDescent="0.25">
      <c r="AB2722" s="52"/>
      <c r="AC2722" s="52"/>
      <c r="AD2722"/>
      <c r="AE2722"/>
    </row>
    <row r="2723" spans="28:31" x14ac:dyDescent="0.25">
      <c r="AB2723" s="52"/>
      <c r="AC2723" s="52"/>
      <c r="AD2723"/>
      <c r="AE2723"/>
    </row>
    <row r="2724" spans="28:31" x14ac:dyDescent="0.25">
      <c r="AB2724" s="52"/>
      <c r="AC2724" s="52"/>
      <c r="AD2724"/>
      <c r="AE2724"/>
    </row>
    <row r="2725" spans="28:31" x14ac:dyDescent="0.25">
      <c r="AB2725" s="52"/>
      <c r="AC2725" s="52"/>
      <c r="AD2725"/>
      <c r="AE2725"/>
    </row>
    <row r="2726" spans="28:31" x14ac:dyDescent="0.25">
      <c r="AB2726" s="52"/>
      <c r="AC2726" s="52"/>
      <c r="AD2726"/>
      <c r="AE2726"/>
    </row>
    <row r="2727" spans="28:31" x14ac:dyDescent="0.25">
      <c r="AB2727" s="52"/>
      <c r="AC2727" s="52"/>
      <c r="AD2727"/>
      <c r="AE2727"/>
    </row>
    <row r="2728" spans="28:31" x14ac:dyDescent="0.25">
      <c r="AB2728" s="52"/>
      <c r="AC2728" s="52"/>
      <c r="AD2728"/>
      <c r="AE2728"/>
    </row>
    <row r="2729" spans="28:31" x14ac:dyDescent="0.25">
      <c r="AB2729" s="52"/>
      <c r="AC2729" s="52"/>
      <c r="AD2729"/>
      <c r="AE2729"/>
    </row>
    <row r="2730" spans="28:31" x14ac:dyDescent="0.25">
      <c r="AB2730" s="52"/>
      <c r="AC2730" s="52"/>
      <c r="AD2730"/>
      <c r="AE2730"/>
    </row>
    <row r="2731" spans="28:31" x14ac:dyDescent="0.25">
      <c r="AB2731" s="52"/>
      <c r="AC2731" s="52"/>
      <c r="AD2731"/>
      <c r="AE2731"/>
    </row>
    <row r="2732" spans="28:31" x14ac:dyDescent="0.25">
      <c r="AB2732" s="52"/>
      <c r="AC2732" s="52"/>
      <c r="AD2732"/>
      <c r="AE2732"/>
    </row>
    <row r="2733" spans="28:31" x14ac:dyDescent="0.25">
      <c r="AB2733" s="52"/>
      <c r="AC2733" s="52"/>
      <c r="AD2733"/>
      <c r="AE2733"/>
    </row>
    <row r="2734" spans="28:31" x14ac:dyDescent="0.25">
      <c r="AB2734" s="52"/>
      <c r="AC2734" s="52"/>
      <c r="AD2734"/>
      <c r="AE2734"/>
    </row>
    <row r="2735" spans="28:31" x14ac:dyDescent="0.25">
      <c r="AB2735" s="52"/>
      <c r="AC2735" s="52"/>
      <c r="AD2735"/>
      <c r="AE2735"/>
    </row>
    <row r="2736" spans="28:31" x14ac:dyDescent="0.25">
      <c r="AB2736" s="52"/>
      <c r="AC2736" s="52"/>
      <c r="AD2736"/>
      <c r="AE2736"/>
    </row>
    <row r="2737" spans="28:31" x14ac:dyDescent="0.25">
      <c r="AB2737" s="52"/>
      <c r="AC2737" s="52"/>
      <c r="AD2737"/>
      <c r="AE2737"/>
    </row>
    <row r="2738" spans="28:31" x14ac:dyDescent="0.25">
      <c r="AB2738" s="52"/>
      <c r="AC2738" s="52"/>
      <c r="AD2738"/>
      <c r="AE2738"/>
    </row>
    <row r="2739" spans="28:31" x14ac:dyDescent="0.25">
      <c r="AB2739" s="52"/>
      <c r="AC2739" s="52"/>
      <c r="AD2739"/>
      <c r="AE2739"/>
    </row>
    <row r="2740" spans="28:31" x14ac:dyDescent="0.25">
      <c r="AB2740" s="52"/>
      <c r="AC2740" s="52"/>
      <c r="AD2740"/>
      <c r="AE2740"/>
    </row>
    <row r="2741" spans="28:31" x14ac:dyDescent="0.25">
      <c r="AB2741" s="52"/>
      <c r="AC2741" s="52"/>
      <c r="AD2741"/>
      <c r="AE2741"/>
    </row>
    <row r="2742" spans="28:31" x14ac:dyDescent="0.25">
      <c r="AB2742" s="52"/>
      <c r="AC2742" s="52"/>
      <c r="AD2742"/>
      <c r="AE2742"/>
    </row>
    <row r="2743" spans="28:31" x14ac:dyDescent="0.25">
      <c r="AB2743" s="52"/>
      <c r="AC2743" s="52"/>
      <c r="AD2743"/>
      <c r="AE2743"/>
    </row>
    <row r="2744" spans="28:31" x14ac:dyDescent="0.25">
      <c r="AB2744" s="52"/>
      <c r="AC2744" s="52"/>
      <c r="AD2744"/>
      <c r="AE2744"/>
    </row>
    <row r="2745" spans="28:31" x14ac:dyDescent="0.25">
      <c r="AB2745" s="52"/>
      <c r="AC2745" s="52"/>
      <c r="AD2745"/>
      <c r="AE2745"/>
    </row>
    <row r="2746" spans="28:31" x14ac:dyDescent="0.25">
      <c r="AB2746" s="52"/>
      <c r="AC2746" s="52"/>
      <c r="AD2746"/>
      <c r="AE2746"/>
    </row>
    <row r="2747" spans="28:31" x14ac:dyDescent="0.25">
      <c r="AB2747" s="52"/>
      <c r="AC2747" s="52"/>
      <c r="AD2747"/>
      <c r="AE2747"/>
    </row>
    <row r="2748" spans="28:31" x14ac:dyDescent="0.25">
      <c r="AB2748" s="52"/>
      <c r="AC2748" s="52"/>
      <c r="AD2748"/>
      <c r="AE2748"/>
    </row>
    <row r="2749" spans="28:31" x14ac:dyDescent="0.25">
      <c r="AB2749" s="52"/>
      <c r="AC2749" s="52"/>
      <c r="AD2749"/>
      <c r="AE2749"/>
    </row>
    <row r="2750" spans="28:31" x14ac:dyDescent="0.25">
      <c r="AB2750" s="52"/>
      <c r="AC2750" s="52"/>
      <c r="AD2750"/>
      <c r="AE2750"/>
    </row>
    <row r="2751" spans="28:31" x14ac:dyDescent="0.25">
      <c r="AB2751" s="52"/>
      <c r="AC2751" s="52"/>
      <c r="AD2751"/>
      <c r="AE2751"/>
    </row>
    <row r="2752" spans="28:31" x14ac:dyDescent="0.25">
      <c r="AB2752" s="52"/>
      <c r="AC2752" s="52"/>
      <c r="AD2752"/>
      <c r="AE2752"/>
    </row>
    <row r="2753" spans="28:31" x14ac:dyDescent="0.25">
      <c r="AB2753" s="52"/>
      <c r="AC2753" s="52"/>
      <c r="AD2753"/>
      <c r="AE2753"/>
    </row>
    <row r="2754" spans="28:31" x14ac:dyDescent="0.25">
      <c r="AB2754" s="52"/>
      <c r="AC2754" s="52"/>
      <c r="AD2754"/>
      <c r="AE2754"/>
    </row>
    <row r="2755" spans="28:31" x14ac:dyDescent="0.25">
      <c r="AB2755" s="52"/>
      <c r="AC2755" s="52"/>
      <c r="AD2755"/>
      <c r="AE2755"/>
    </row>
    <row r="2756" spans="28:31" x14ac:dyDescent="0.25">
      <c r="AB2756" s="52"/>
      <c r="AC2756" s="52"/>
      <c r="AD2756"/>
      <c r="AE2756"/>
    </row>
    <row r="2757" spans="28:31" x14ac:dyDescent="0.25">
      <c r="AB2757" s="52"/>
      <c r="AC2757" s="52"/>
      <c r="AD2757"/>
      <c r="AE2757"/>
    </row>
    <row r="2758" spans="28:31" x14ac:dyDescent="0.25">
      <c r="AB2758" s="52"/>
      <c r="AC2758" s="52"/>
      <c r="AD2758"/>
      <c r="AE2758"/>
    </row>
    <row r="2759" spans="28:31" x14ac:dyDescent="0.25">
      <c r="AB2759" s="52"/>
      <c r="AC2759" s="52"/>
      <c r="AD2759"/>
      <c r="AE2759"/>
    </row>
    <row r="2760" spans="28:31" x14ac:dyDescent="0.25">
      <c r="AB2760" s="52"/>
      <c r="AC2760" s="52"/>
      <c r="AD2760"/>
      <c r="AE2760"/>
    </row>
    <row r="2761" spans="28:31" x14ac:dyDescent="0.25">
      <c r="AB2761" s="52"/>
      <c r="AC2761" s="52"/>
      <c r="AD2761"/>
      <c r="AE2761"/>
    </row>
    <row r="2762" spans="28:31" x14ac:dyDescent="0.25">
      <c r="AB2762" s="52"/>
      <c r="AC2762" s="52"/>
      <c r="AD2762"/>
      <c r="AE2762"/>
    </row>
    <row r="2763" spans="28:31" x14ac:dyDescent="0.25">
      <c r="AB2763" s="52"/>
      <c r="AC2763" s="52"/>
      <c r="AD2763"/>
      <c r="AE2763"/>
    </row>
    <row r="2764" spans="28:31" x14ac:dyDescent="0.25">
      <c r="AB2764" s="52"/>
      <c r="AC2764" s="52"/>
      <c r="AD2764"/>
      <c r="AE2764"/>
    </row>
    <row r="2765" spans="28:31" x14ac:dyDescent="0.25">
      <c r="AB2765" s="52"/>
      <c r="AC2765" s="52"/>
      <c r="AD2765"/>
      <c r="AE2765"/>
    </row>
    <row r="2766" spans="28:31" x14ac:dyDescent="0.25">
      <c r="AB2766" s="52"/>
      <c r="AC2766" s="52"/>
      <c r="AD2766"/>
      <c r="AE2766"/>
    </row>
    <row r="2767" spans="28:31" x14ac:dyDescent="0.25">
      <c r="AB2767" s="52"/>
      <c r="AC2767" s="52"/>
      <c r="AD2767"/>
      <c r="AE2767"/>
    </row>
    <row r="2768" spans="28:31" x14ac:dyDescent="0.25">
      <c r="AB2768" s="52"/>
      <c r="AC2768" s="52"/>
      <c r="AD2768"/>
      <c r="AE2768"/>
    </row>
    <row r="2769" spans="28:31" x14ac:dyDescent="0.25">
      <c r="AB2769" s="52"/>
      <c r="AC2769" s="52"/>
      <c r="AD2769"/>
      <c r="AE2769"/>
    </row>
    <row r="2770" spans="28:31" x14ac:dyDescent="0.25">
      <c r="AB2770" s="52"/>
      <c r="AC2770" s="52"/>
      <c r="AD2770"/>
      <c r="AE2770"/>
    </row>
    <row r="2771" spans="28:31" x14ac:dyDescent="0.25">
      <c r="AB2771" s="52"/>
      <c r="AC2771" s="52"/>
      <c r="AD2771"/>
      <c r="AE2771"/>
    </row>
    <row r="2772" spans="28:31" x14ac:dyDescent="0.25">
      <c r="AB2772" s="52"/>
      <c r="AC2772" s="52"/>
      <c r="AD2772"/>
      <c r="AE2772"/>
    </row>
    <row r="2773" spans="28:31" x14ac:dyDescent="0.25">
      <c r="AB2773" s="52"/>
      <c r="AC2773" s="52"/>
      <c r="AD2773"/>
      <c r="AE2773"/>
    </row>
    <row r="2774" spans="28:31" x14ac:dyDescent="0.25">
      <c r="AB2774" s="52"/>
      <c r="AC2774" s="52"/>
      <c r="AD2774"/>
      <c r="AE2774"/>
    </row>
    <row r="2775" spans="28:31" x14ac:dyDescent="0.25">
      <c r="AB2775" s="52"/>
      <c r="AC2775" s="52"/>
      <c r="AD2775"/>
      <c r="AE2775"/>
    </row>
    <row r="2776" spans="28:31" x14ac:dyDescent="0.25">
      <c r="AB2776" s="52"/>
      <c r="AC2776" s="52"/>
      <c r="AD2776"/>
      <c r="AE2776"/>
    </row>
    <row r="2777" spans="28:31" x14ac:dyDescent="0.25">
      <c r="AB2777" s="52"/>
      <c r="AC2777" s="52"/>
      <c r="AD2777"/>
      <c r="AE2777"/>
    </row>
    <row r="2778" spans="28:31" x14ac:dyDescent="0.25">
      <c r="AB2778" s="52"/>
      <c r="AC2778" s="52"/>
      <c r="AD2778"/>
      <c r="AE2778"/>
    </row>
    <row r="2779" spans="28:31" x14ac:dyDescent="0.25">
      <c r="AB2779" s="52"/>
      <c r="AC2779" s="52"/>
      <c r="AD2779"/>
      <c r="AE2779"/>
    </row>
    <row r="2780" spans="28:31" x14ac:dyDescent="0.25">
      <c r="AB2780" s="52"/>
      <c r="AC2780" s="52"/>
      <c r="AD2780"/>
      <c r="AE2780"/>
    </row>
    <row r="2781" spans="28:31" x14ac:dyDescent="0.25">
      <c r="AB2781" s="52"/>
      <c r="AC2781" s="52"/>
      <c r="AD2781"/>
      <c r="AE2781"/>
    </row>
    <row r="2782" spans="28:31" x14ac:dyDescent="0.25">
      <c r="AB2782" s="52"/>
      <c r="AC2782" s="52"/>
      <c r="AD2782"/>
      <c r="AE2782"/>
    </row>
    <row r="2783" spans="28:31" x14ac:dyDescent="0.25">
      <c r="AB2783" s="52"/>
      <c r="AC2783" s="52"/>
      <c r="AD2783"/>
      <c r="AE2783"/>
    </row>
    <row r="2784" spans="28:31" x14ac:dyDescent="0.25">
      <c r="AB2784" s="52"/>
      <c r="AC2784" s="52"/>
      <c r="AD2784"/>
      <c r="AE2784"/>
    </row>
    <row r="2785" spans="28:31" x14ac:dyDescent="0.25">
      <c r="AB2785" s="52"/>
      <c r="AC2785" s="52"/>
      <c r="AD2785"/>
      <c r="AE2785"/>
    </row>
    <row r="2786" spans="28:31" x14ac:dyDescent="0.25">
      <c r="AB2786" s="52"/>
      <c r="AC2786" s="52"/>
      <c r="AD2786"/>
      <c r="AE2786"/>
    </row>
    <row r="2787" spans="28:31" x14ac:dyDescent="0.25">
      <c r="AB2787" s="52"/>
      <c r="AC2787" s="52"/>
      <c r="AD2787"/>
      <c r="AE2787"/>
    </row>
    <row r="2788" spans="28:31" x14ac:dyDescent="0.25">
      <c r="AB2788" s="52"/>
      <c r="AC2788" s="52"/>
      <c r="AD2788"/>
      <c r="AE2788"/>
    </row>
    <row r="2789" spans="28:31" x14ac:dyDescent="0.25">
      <c r="AB2789" s="52"/>
      <c r="AC2789" s="52"/>
      <c r="AD2789"/>
      <c r="AE2789"/>
    </row>
    <row r="2790" spans="28:31" x14ac:dyDescent="0.25">
      <c r="AB2790" s="52"/>
      <c r="AC2790" s="52"/>
      <c r="AD2790"/>
      <c r="AE2790"/>
    </row>
    <row r="2791" spans="28:31" x14ac:dyDescent="0.25">
      <c r="AB2791" s="52"/>
      <c r="AC2791" s="52"/>
      <c r="AD2791"/>
      <c r="AE2791"/>
    </row>
    <row r="2792" spans="28:31" x14ac:dyDescent="0.25">
      <c r="AB2792" s="52"/>
      <c r="AC2792" s="52"/>
      <c r="AD2792"/>
      <c r="AE2792"/>
    </row>
    <row r="2793" spans="28:31" x14ac:dyDescent="0.25">
      <c r="AB2793" s="52"/>
      <c r="AC2793" s="52"/>
      <c r="AD2793"/>
      <c r="AE2793"/>
    </row>
    <row r="2794" spans="28:31" x14ac:dyDescent="0.25">
      <c r="AB2794" s="52"/>
      <c r="AC2794" s="52"/>
      <c r="AD2794"/>
      <c r="AE2794"/>
    </row>
    <row r="2795" spans="28:31" x14ac:dyDescent="0.25">
      <c r="AB2795" s="52"/>
      <c r="AC2795" s="52"/>
      <c r="AD2795"/>
      <c r="AE2795"/>
    </row>
    <row r="2796" spans="28:31" x14ac:dyDescent="0.25">
      <c r="AB2796" s="52"/>
      <c r="AC2796" s="52"/>
      <c r="AD2796"/>
      <c r="AE2796"/>
    </row>
    <row r="2797" spans="28:31" x14ac:dyDescent="0.25">
      <c r="AB2797" s="52"/>
      <c r="AC2797" s="52"/>
      <c r="AD2797"/>
      <c r="AE2797"/>
    </row>
    <row r="2798" spans="28:31" x14ac:dyDescent="0.25">
      <c r="AB2798" s="52"/>
      <c r="AC2798" s="52"/>
      <c r="AD2798"/>
      <c r="AE2798"/>
    </row>
    <row r="2799" spans="28:31" x14ac:dyDescent="0.25">
      <c r="AB2799" s="52"/>
      <c r="AC2799" s="52"/>
      <c r="AD2799"/>
      <c r="AE2799"/>
    </row>
    <row r="2800" spans="28:31" x14ac:dyDescent="0.25">
      <c r="AB2800" s="52"/>
      <c r="AC2800" s="52"/>
      <c r="AD2800"/>
      <c r="AE2800"/>
    </row>
    <row r="2801" spans="28:31" x14ac:dyDescent="0.25">
      <c r="AB2801" s="52"/>
      <c r="AC2801" s="52"/>
      <c r="AD2801"/>
      <c r="AE2801"/>
    </row>
    <row r="2802" spans="28:31" x14ac:dyDescent="0.25">
      <c r="AB2802" s="52"/>
      <c r="AC2802" s="52"/>
      <c r="AD2802"/>
      <c r="AE2802"/>
    </row>
    <row r="2803" spans="28:31" x14ac:dyDescent="0.25">
      <c r="AB2803" s="52"/>
      <c r="AC2803" s="52"/>
      <c r="AD2803"/>
      <c r="AE2803"/>
    </row>
    <row r="2804" spans="28:31" x14ac:dyDescent="0.25">
      <c r="AB2804" s="52"/>
      <c r="AC2804" s="52"/>
      <c r="AD2804"/>
      <c r="AE2804"/>
    </row>
    <row r="2805" spans="28:31" x14ac:dyDescent="0.25">
      <c r="AB2805" s="52"/>
      <c r="AC2805" s="52"/>
      <c r="AD2805"/>
      <c r="AE2805"/>
    </row>
    <row r="2806" spans="28:31" x14ac:dyDescent="0.25">
      <c r="AB2806" s="52"/>
      <c r="AC2806" s="52"/>
      <c r="AD2806"/>
      <c r="AE2806"/>
    </row>
    <row r="2807" spans="28:31" x14ac:dyDescent="0.25">
      <c r="AB2807" s="52"/>
      <c r="AC2807" s="52"/>
      <c r="AD2807"/>
      <c r="AE2807"/>
    </row>
    <row r="2808" spans="28:31" x14ac:dyDescent="0.25">
      <c r="AB2808" s="52"/>
      <c r="AC2808" s="52"/>
      <c r="AD2808"/>
      <c r="AE2808"/>
    </row>
    <row r="2809" spans="28:31" x14ac:dyDescent="0.25">
      <c r="AB2809" s="52"/>
      <c r="AC2809" s="52"/>
      <c r="AD2809"/>
      <c r="AE2809"/>
    </row>
    <row r="2810" spans="28:31" x14ac:dyDescent="0.25">
      <c r="AB2810" s="52"/>
      <c r="AC2810" s="52"/>
      <c r="AD2810"/>
      <c r="AE2810"/>
    </row>
    <row r="2811" spans="28:31" x14ac:dyDescent="0.25">
      <c r="AB2811" s="52"/>
      <c r="AC2811" s="52"/>
      <c r="AD2811"/>
      <c r="AE2811"/>
    </row>
    <row r="2812" spans="28:31" x14ac:dyDescent="0.25">
      <c r="AB2812" s="52"/>
      <c r="AC2812" s="52"/>
      <c r="AD2812"/>
      <c r="AE2812"/>
    </row>
    <row r="2813" spans="28:31" x14ac:dyDescent="0.25">
      <c r="AB2813" s="52"/>
      <c r="AC2813" s="52"/>
      <c r="AD2813"/>
      <c r="AE2813"/>
    </row>
    <row r="2814" spans="28:31" x14ac:dyDescent="0.25">
      <c r="AB2814" s="52"/>
      <c r="AC2814" s="52"/>
      <c r="AD2814"/>
      <c r="AE2814"/>
    </row>
    <row r="2815" spans="28:31" x14ac:dyDescent="0.25">
      <c r="AB2815" s="52"/>
      <c r="AC2815" s="52"/>
      <c r="AD2815"/>
      <c r="AE2815"/>
    </row>
    <row r="2816" spans="28:31" x14ac:dyDescent="0.25">
      <c r="AB2816" s="52"/>
      <c r="AC2816" s="52"/>
      <c r="AD2816"/>
      <c r="AE2816"/>
    </row>
    <row r="2817" spans="28:31" x14ac:dyDescent="0.25">
      <c r="AB2817" s="52"/>
      <c r="AC2817" s="52"/>
      <c r="AD2817"/>
      <c r="AE2817"/>
    </row>
    <row r="2818" spans="28:31" x14ac:dyDescent="0.25">
      <c r="AB2818" s="52"/>
      <c r="AC2818" s="52"/>
      <c r="AD2818"/>
      <c r="AE2818"/>
    </row>
    <row r="2819" spans="28:31" x14ac:dyDescent="0.25">
      <c r="AB2819" s="52"/>
      <c r="AC2819" s="52"/>
      <c r="AD2819"/>
      <c r="AE2819"/>
    </row>
    <row r="2820" spans="28:31" x14ac:dyDescent="0.25">
      <c r="AB2820" s="52"/>
      <c r="AC2820" s="52"/>
      <c r="AD2820"/>
      <c r="AE2820"/>
    </row>
    <row r="2821" spans="28:31" x14ac:dyDescent="0.25">
      <c r="AB2821" s="52"/>
      <c r="AC2821" s="52"/>
      <c r="AD2821"/>
      <c r="AE2821"/>
    </row>
    <row r="2822" spans="28:31" x14ac:dyDescent="0.25">
      <c r="AB2822" s="52"/>
      <c r="AC2822" s="52"/>
      <c r="AD2822"/>
      <c r="AE2822"/>
    </row>
    <row r="2823" spans="28:31" x14ac:dyDescent="0.25">
      <c r="AB2823" s="52"/>
      <c r="AC2823" s="52"/>
      <c r="AD2823"/>
      <c r="AE2823"/>
    </row>
    <row r="2824" spans="28:31" x14ac:dyDescent="0.25">
      <c r="AB2824" s="52"/>
      <c r="AC2824" s="52"/>
      <c r="AD2824"/>
      <c r="AE2824"/>
    </row>
    <row r="2825" spans="28:31" x14ac:dyDescent="0.25">
      <c r="AB2825" s="52"/>
      <c r="AC2825" s="52"/>
      <c r="AD2825"/>
      <c r="AE2825"/>
    </row>
    <row r="2826" spans="28:31" x14ac:dyDescent="0.25">
      <c r="AB2826" s="52"/>
      <c r="AC2826" s="52"/>
      <c r="AD2826"/>
      <c r="AE2826"/>
    </row>
    <row r="2827" spans="28:31" x14ac:dyDescent="0.25">
      <c r="AB2827" s="52"/>
      <c r="AC2827" s="52"/>
      <c r="AD2827"/>
      <c r="AE2827"/>
    </row>
    <row r="2828" spans="28:31" x14ac:dyDescent="0.25">
      <c r="AB2828" s="52"/>
      <c r="AC2828" s="52"/>
      <c r="AD2828"/>
      <c r="AE2828"/>
    </row>
    <row r="2829" spans="28:31" x14ac:dyDescent="0.25">
      <c r="AB2829" s="52"/>
      <c r="AC2829" s="52"/>
      <c r="AD2829"/>
      <c r="AE2829"/>
    </row>
    <row r="2830" spans="28:31" x14ac:dyDescent="0.25">
      <c r="AB2830" s="52"/>
      <c r="AC2830" s="52"/>
      <c r="AD2830"/>
      <c r="AE2830"/>
    </row>
    <row r="2831" spans="28:31" x14ac:dyDescent="0.25">
      <c r="AB2831" s="52"/>
      <c r="AC2831" s="52"/>
      <c r="AD2831"/>
      <c r="AE2831"/>
    </row>
    <row r="2832" spans="28:31" x14ac:dyDescent="0.25">
      <c r="AB2832" s="52"/>
      <c r="AC2832" s="52"/>
      <c r="AD2832"/>
      <c r="AE2832"/>
    </row>
    <row r="2833" spans="28:31" x14ac:dyDescent="0.25">
      <c r="AB2833" s="52"/>
      <c r="AC2833" s="52"/>
      <c r="AD2833"/>
      <c r="AE2833"/>
    </row>
    <row r="2834" spans="28:31" x14ac:dyDescent="0.25">
      <c r="AB2834" s="52"/>
      <c r="AC2834" s="52"/>
      <c r="AD2834"/>
      <c r="AE2834"/>
    </row>
    <row r="2835" spans="28:31" x14ac:dyDescent="0.25">
      <c r="AB2835" s="52"/>
      <c r="AC2835" s="52"/>
      <c r="AD2835"/>
      <c r="AE2835"/>
    </row>
    <row r="2836" spans="28:31" x14ac:dyDescent="0.25">
      <c r="AB2836" s="52"/>
      <c r="AC2836" s="52"/>
      <c r="AD2836"/>
      <c r="AE2836"/>
    </row>
    <row r="2837" spans="28:31" x14ac:dyDescent="0.25">
      <c r="AB2837" s="52"/>
      <c r="AC2837" s="52"/>
      <c r="AD2837"/>
      <c r="AE2837"/>
    </row>
    <row r="2838" spans="28:31" x14ac:dyDescent="0.25">
      <c r="AB2838" s="52"/>
      <c r="AC2838" s="52"/>
      <c r="AD2838"/>
      <c r="AE2838"/>
    </row>
    <row r="2839" spans="28:31" x14ac:dyDescent="0.25">
      <c r="AB2839" s="52"/>
      <c r="AC2839" s="52"/>
      <c r="AD2839"/>
      <c r="AE2839"/>
    </row>
    <row r="2840" spans="28:31" x14ac:dyDescent="0.25">
      <c r="AB2840" s="52"/>
      <c r="AC2840" s="52"/>
      <c r="AD2840"/>
      <c r="AE2840"/>
    </row>
    <row r="2841" spans="28:31" x14ac:dyDescent="0.25">
      <c r="AB2841" s="52"/>
      <c r="AC2841" s="52"/>
      <c r="AD2841"/>
      <c r="AE2841"/>
    </row>
    <row r="2842" spans="28:31" x14ac:dyDescent="0.25">
      <c r="AB2842" s="52"/>
      <c r="AC2842" s="52"/>
      <c r="AD2842"/>
      <c r="AE2842"/>
    </row>
    <row r="2843" spans="28:31" x14ac:dyDescent="0.25">
      <c r="AB2843" s="52"/>
      <c r="AC2843" s="52"/>
      <c r="AD2843"/>
      <c r="AE2843"/>
    </row>
    <row r="2844" spans="28:31" x14ac:dyDescent="0.25">
      <c r="AB2844" s="52"/>
      <c r="AC2844" s="52"/>
      <c r="AD2844"/>
      <c r="AE2844"/>
    </row>
    <row r="2845" spans="28:31" x14ac:dyDescent="0.25">
      <c r="AB2845" s="52"/>
      <c r="AC2845" s="52"/>
      <c r="AD2845"/>
      <c r="AE2845"/>
    </row>
    <row r="2846" spans="28:31" x14ac:dyDescent="0.25">
      <c r="AB2846" s="52"/>
      <c r="AC2846" s="52"/>
      <c r="AD2846"/>
      <c r="AE2846"/>
    </row>
    <row r="2847" spans="28:31" x14ac:dyDescent="0.25">
      <c r="AB2847" s="52"/>
      <c r="AC2847" s="52"/>
      <c r="AD2847"/>
      <c r="AE2847"/>
    </row>
    <row r="2848" spans="28:31" x14ac:dyDescent="0.25">
      <c r="AB2848" s="52"/>
      <c r="AC2848" s="52"/>
      <c r="AD2848"/>
      <c r="AE2848"/>
    </row>
    <row r="2849" spans="28:31" x14ac:dyDescent="0.25">
      <c r="AB2849" s="52"/>
      <c r="AC2849" s="52"/>
      <c r="AD2849"/>
      <c r="AE2849"/>
    </row>
    <row r="2850" spans="28:31" x14ac:dyDescent="0.25">
      <c r="AB2850" s="52"/>
      <c r="AC2850" s="52"/>
      <c r="AD2850"/>
      <c r="AE2850"/>
    </row>
    <row r="2851" spans="28:31" x14ac:dyDescent="0.25">
      <c r="AB2851" s="52"/>
      <c r="AC2851" s="52"/>
      <c r="AD2851"/>
      <c r="AE2851"/>
    </row>
    <row r="2852" spans="28:31" x14ac:dyDescent="0.25">
      <c r="AB2852" s="52"/>
      <c r="AC2852" s="52"/>
      <c r="AD2852"/>
      <c r="AE2852"/>
    </row>
    <row r="2853" spans="28:31" x14ac:dyDescent="0.25">
      <c r="AB2853" s="52"/>
      <c r="AC2853" s="52"/>
      <c r="AD2853"/>
      <c r="AE2853"/>
    </row>
    <row r="2854" spans="28:31" x14ac:dyDescent="0.25">
      <c r="AB2854" s="52"/>
      <c r="AC2854" s="52"/>
      <c r="AD2854"/>
      <c r="AE2854"/>
    </row>
    <row r="2855" spans="28:31" x14ac:dyDescent="0.25">
      <c r="AB2855" s="52"/>
      <c r="AC2855" s="52"/>
      <c r="AD2855"/>
      <c r="AE2855"/>
    </row>
    <row r="2856" spans="28:31" x14ac:dyDescent="0.25">
      <c r="AB2856" s="52"/>
      <c r="AC2856" s="52"/>
      <c r="AD2856"/>
      <c r="AE2856"/>
    </row>
    <row r="2857" spans="28:31" x14ac:dyDescent="0.25">
      <c r="AB2857" s="52"/>
      <c r="AC2857" s="52"/>
      <c r="AD2857"/>
      <c r="AE2857"/>
    </row>
    <row r="2858" spans="28:31" x14ac:dyDescent="0.25">
      <c r="AB2858" s="52"/>
      <c r="AC2858" s="52"/>
      <c r="AD2858"/>
      <c r="AE2858"/>
    </row>
    <row r="2859" spans="28:31" x14ac:dyDescent="0.25">
      <c r="AB2859" s="52"/>
      <c r="AC2859" s="52"/>
      <c r="AD2859"/>
      <c r="AE2859"/>
    </row>
    <row r="2860" spans="28:31" x14ac:dyDescent="0.25">
      <c r="AB2860" s="52"/>
      <c r="AC2860" s="52"/>
      <c r="AD2860"/>
      <c r="AE2860"/>
    </row>
    <row r="2861" spans="28:31" x14ac:dyDescent="0.25">
      <c r="AB2861" s="52"/>
      <c r="AC2861" s="52"/>
      <c r="AD2861"/>
      <c r="AE2861"/>
    </row>
    <row r="2862" spans="28:31" x14ac:dyDescent="0.25">
      <c r="AB2862" s="52"/>
      <c r="AC2862" s="52"/>
      <c r="AD2862"/>
      <c r="AE2862"/>
    </row>
    <row r="2863" spans="28:31" x14ac:dyDescent="0.25">
      <c r="AB2863" s="52"/>
      <c r="AC2863" s="52"/>
      <c r="AD2863"/>
      <c r="AE2863"/>
    </row>
    <row r="2864" spans="28:31" x14ac:dyDescent="0.25">
      <c r="AB2864" s="52"/>
      <c r="AC2864" s="52"/>
      <c r="AD2864"/>
      <c r="AE2864"/>
    </row>
    <row r="2865" spans="28:31" x14ac:dyDescent="0.25">
      <c r="AB2865" s="52"/>
      <c r="AC2865" s="52"/>
      <c r="AD2865"/>
      <c r="AE2865"/>
    </row>
    <row r="2866" spans="28:31" x14ac:dyDescent="0.25">
      <c r="AB2866" s="52"/>
      <c r="AC2866" s="52"/>
      <c r="AD2866"/>
      <c r="AE2866"/>
    </row>
    <row r="2867" spans="28:31" x14ac:dyDescent="0.25">
      <c r="AB2867" s="52"/>
      <c r="AC2867" s="52"/>
      <c r="AD2867"/>
      <c r="AE2867"/>
    </row>
    <row r="2868" spans="28:31" x14ac:dyDescent="0.25">
      <c r="AB2868" s="52"/>
      <c r="AC2868" s="52"/>
      <c r="AD2868"/>
      <c r="AE2868"/>
    </row>
    <row r="2869" spans="28:31" x14ac:dyDescent="0.25">
      <c r="AB2869" s="52"/>
      <c r="AC2869" s="52"/>
      <c r="AD2869"/>
      <c r="AE2869"/>
    </row>
    <row r="2870" spans="28:31" x14ac:dyDescent="0.25">
      <c r="AB2870" s="52"/>
      <c r="AC2870" s="52"/>
      <c r="AD2870"/>
      <c r="AE2870"/>
    </row>
    <row r="2871" spans="28:31" x14ac:dyDescent="0.25">
      <c r="AB2871" s="52"/>
      <c r="AC2871" s="52"/>
      <c r="AD2871"/>
      <c r="AE2871"/>
    </row>
    <row r="2872" spans="28:31" x14ac:dyDescent="0.25">
      <c r="AB2872" s="52"/>
      <c r="AC2872" s="52"/>
      <c r="AD2872"/>
      <c r="AE2872"/>
    </row>
    <row r="2873" spans="28:31" x14ac:dyDescent="0.25">
      <c r="AB2873" s="52"/>
      <c r="AC2873" s="52"/>
      <c r="AD2873"/>
      <c r="AE2873"/>
    </row>
    <row r="2874" spans="28:31" x14ac:dyDescent="0.25">
      <c r="AB2874" s="52"/>
      <c r="AC2874" s="52"/>
      <c r="AD2874"/>
      <c r="AE2874"/>
    </row>
    <row r="2875" spans="28:31" x14ac:dyDescent="0.25">
      <c r="AB2875" s="52"/>
      <c r="AC2875" s="52"/>
      <c r="AD2875"/>
      <c r="AE2875"/>
    </row>
    <row r="2876" spans="28:31" x14ac:dyDescent="0.25">
      <c r="AB2876" s="52"/>
      <c r="AC2876" s="52"/>
      <c r="AD2876"/>
      <c r="AE2876"/>
    </row>
    <row r="2877" spans="28:31" x14ac:dyDescent="0.25">
      <c r="AB2877" s="52"/>
      <c r="AC2877" s="52"/>
      <c r="AD2877"/>
      <c r="AE2877"/>
    </row>
    <row r="2878" spans="28:31" x14ac:dyDescent="0.25">
      <c r="AB2878" s="52"/>
      <c r="AC2878" s="52"/>
      <c r="AD2878"/>
      <c r="AE2878"/>
    </row>
    <row r="2879" spans="28:31" x14ac:dyDescent="0.25">
      <c r="AB2879" s="52"/>
      <c r="AC2879" s="52"/>
      <c r="AD2879"/>
      <c r="AE2879"/>
    </row>
    <row r="2880" spans="28:31" x14ac:dyDescent="0.25">
      <c r="AB2880" s="52"/>
      <c r="AC2880" s="52"/>
      <c r="AD2880"/>
      <c r="AE2880"/>
    </row>
    <row r="2881" spans="28:31" x14ac:dyDescent="0.25">
      <c r="AB2881" s="52"/>
      <c r="AC2881" s="52"/>
      <c r="AD2881"/>
      <c r="AE2881"/>
    </row>
    <row r="2882" spans="28:31" x14ac:dyDescent="0.25">
      <c r="AB2882" s="52"/>
      <c r="AC2882" s="52"/>
      <c r="AD2882"/>
      <c r="AE2882"/>
    </row>
    <row r="2883" spans="28:31" x14ac:dyDescent="0.25">
      <c r="AB2883" s="52"/>
      <c r="AC2883" s="52"/>
      <c r="AD2883"/>
      <c r="AE2883"/>
    </row>
    <row r="2884" spans="28:31" x14ac:dyDescent="0.25">
      <c r="AB2884" s="52"/>
      <c r="AC2884" s="52"/>
      <c r="AD2884"/>
      <c r="AE2884"/>
    </row>
    <row r="2885" spans="28:31" x14ac:dyDescent="0.25">
      <c r="AB2885" s="52"/>
      <c r="AC2885" s="52"/>
      <c r="AD2885"/>
      <c r="AE2885"/>
    </row>
    <row r="2886" spans="28:31" x14ac:dyDescent="0.25">
      <c r="AB2886" s="52"/>
      <c r="AC2886" s="52"/>
      <c r="AD2886"/>
      <c r="AE2886"/>
    </row>
    <row r="2887" spans="28:31" x14ac:dyDescent="0.25">
      <c r="AB2887" s="52"/>
      <c r="AC2887" s="52"/>
      <c r="AD2887"/>
      <c r="AE2887"/>
    </row>
    <row r="2888" spans="28:31" x14ac:dyDescent="0.25">
      <c r="AB2888" s="52"/>
      <c r="AC2888" s="52"/>
      <c r="AD2888"/>
      <c r="AE2888"/>
    </row>
    <row r="2889" spans="28:31" x14ac:dyDescent="0.25">
      <c r="AB2889" s="52"/>
      <c r="AC2889" s="52"/>
      <c r="AD2889"/>
      <c r="AE2889"/>
    </row>
    <row r="2890" spans="28:31" x14ac:dyDescent="0.25">
      <c r="AB2890" s="52"/>
      <c r="AC2890" s="52"/>
      <c r="AD2890"/>
      <c r="AE2890"/>
    </row>
    <row r="2891" spans="28:31" x14ac:dyDescent="0.25">
      <c r="AB2891" s="52"/>
      <c r="AC2891" s="52"/>
      <c r="AD2891"/>
      <c r="AE2891"/>
    </row>
    <row r="2892" spans="28:31" x14ac:dyDescent="0.25">
      <c r="AB2892" s="52"/>
      <c r="AC2892" s="52"/>
      <c r="AD2892"/>
      <c r="AE2892"/>
    </row>
    <row r="2893" spans="28:31" x14ac:dyDescent="0.25">
      <c r="AB2893" s="52"/>
      <c r="AC2893" s="52"/>
      <c r="AD2893"/>
      <c r="AE2893"/>
    </row>
    <row r="2894" spans="28:31" x14ac:dyDescent="0.25">
      <c r="AB2894" s="52"/>
      <c r="AC2894" s="52"/>
      <c r="AD2894"/>
      <c r="AE2894"/>
    </row>
    <row r="2895" spans="28:31" x14ac:dyDescent="0.25">
      <c r="AB2895" s="52"/>
      <c r="AC2895" s="52"/>
      <c r="AD2895"/>
      <c r="AE2895"/>
    </row>
    <row r="2896" spans="28:31" x14ac:dyDescent="0.25">
      <c r="AB2896" s="52"/>
      <c r="AC2896" s="52"/>
      <c r="AD2896"/>
      <c r="AE2896"/>
    </row>
    <row r="2897" spans="28:31" x14ac:dyDescent="0.25">
      <c r="AB2897" s="52"/>
      <c r="AC2897" s="52"/>
      <c r="AD2897"/>
      <c r="AE2897"/>
    </row>
    <row r="2898" spans="28:31" x14ac:dyDescent="0.25">
      <c r="AB2898" s="52"/>
      <c r="AC2898" s="52"/>
      <c r="AD2898"/>
      <c r="AE2898"/>
    </row>
    <row r="2899" spans="28:31" x14ac:dyDescent="0.25">
      <c r="AB2899" s="52"/>
      <c r="AC2899" s="52"/>
      <c r="AD2899"/>
      <c r="AE2899"/>
    </row>
    <row r="2900" spans="28:31" x14ac:dyDescent="0.25">
      <c r="AB2900" s="52"/>
      <c r="AC2900" s="52"/>
      <c r="AD2900"/>
      <c r="AE2900"/>
    </row>
    <row r="2901" spans="28:31" x14ac:dyDescent="0.25">
      <c r="AB2901" s="52"/>
      <c r="AC2901" s="52"/>
      <c r="AD2901"/>
      <c r="AE2901"/>
    </row>
    <row r="2902" spans="28:31" x14ac:dyDescent="0.25">
      <c r="AB2902" s="52"/>
      <c r="AC2902" s="52"/>
      <c r="AD2902"/>
      <c r="AE2902"/>
    </row>
    <row r="2903" spans="28:31" x14ac:dyDescent="0.25">
      <c r="AB2903" s="52"/>
      <c r="AC2903" s="52"/>
      <c r="AD2903"/>
      <c r="AE2903"/>
    </row>
    <row r="2904" spans="28:31" x14ac:dyDescent="0.25">
      <c r="AB2904" s="52"/>
      <c r="AC2904" s="52"/>
      <c r="AD2904"/>
      <c r="AE2904"/>
    </row>
    <row r="2905" spans="28:31" x14ac:dyDescent="0.25">
      <c r="AB2905" s="52"/>
      <c r="AC2905" s="52"/>
      <c r="AD2905"/>
      <c r="AE2905"/>
    </row>
    <row r="2906" spans="28:31" x14ac:dyDescent="0.25">
      <c r="AB2906" s="52"/>
      <c r="AC2906" s="52"/>
      <c r="AD2906"/>
      <c r="AE2906"/>
    </row>
    <row r="2907" spans="28:31" x14ac:dyDescent="0.25">
      <c r="AB2907" s="52"/>
      <c r="AC2907" s="52"/>
      <c r="AD2907"/>
      <c r="AE2907"/>
    </row>
    <row r="2908" spans="28:31" x14ac:dyDescent="0.25">
      <c r="AB2908" s="52"/>
      <c r="AC2908" s="52"/>
      <c r="AD2908"/>
      <c r="AE2908"/>
    </row>
    <row r="2909" spans="28:31" x14ac:dyDescent="0.25">
      <c r="AB2909" s="52"/>
      <c r="AC2909" s="52"/>
      <c r="AD2909"/>
      <c r="AE2909"/>
    </row>
    <row r="2910" spans="28:31" x14ac:dyDescent="0.25">
      <c r="AC2910" s="52"/>
      <c r="AE2910"/>
    </row>
    <row r="2911" spans="28:31" x14ac:dyDescent="0.25">
      <c r="AC2911" s="52"/>
      <c r="AE2911"/>
    </row>
    <row r="2912" spans="28:31" x14ac:dyDescent="0.25">
      <c r="AC2912" s="52"/>
      <c r="AE2912"/>
    </row>
    <row r="2913" spans="29:31" x14ac:dyDescent="0.25">
      <c r="AC2913" s="52"/>
      <c r="AE2913"/>
    </row>
    <row r="2914" spans="29:31" x14ac:dyDescent="0.25">
      <c r="AC2914" s="52"/>
      <c r="AE2914"/>
    </row>
    <row r="2915" spans="29:31" x14ac:dyDescent="0.25">
      <c r="AC2915" s="52"/>
      <c r="AE2915"/>
    </row>
    <row r="2916" spans="29:31" x14ac:dyDescent="0.25">
      <c r="AC2916" s="52"/>
      <c r="AE2916"/>
    </row>
    <row r="2917" spans="29:31" x14ac:dyDescent="0.25">
      <c r="AC2917" s="52"/>
      <c r="AE2917"/>
    </row>
    <row r="2918" spans="29:31" x14ac:dyDescent="0.25">
      <c r="AC2918" s="52"/>
      <c r="AE2918"/>
    </row>
    <row r="2919" spans="29:31" x14ac:dyDescent="0.25">
      <c r="AC2919" s="52"/>
      <c r="AE2919"/>
    </row>
    <row r="2920" spans="29:31" x14ac:dyDescent="0.25">
      <c r="AC2920" s="52"/>
      <c r="AE2920"/>
    </row>
    <row r="2921" spans="29:31" x14ac:dyDescent="0.25">
      <c r="AC2921" s="52"/>
      <c r="AE2921"/>
    </row>
    <row r="2922" spans="29:31" x14ac:dyDescent="0.25">
      <c r="AC2922" s="52"/>
      <c r="AE2922"/>
    </row>
    <row r="2923" spans="29:31" x14ac:dyDescent="0.25">
      <c r="AC2923" s="52"/>
      <c r="AE2923"/>
    </row>
    <row r="2924" spans="29:31" x14ac:dyDescent="0.25">
      <c r="AC2924" s="52"/>
      <c r="AE2924"/>
    </row>
    <row r="2925" spans="29:31" x14ac:dyDescent="0.25">
      <c r="AC2925" s="52"/>
      <c r="AE2925"/>
    </row>
    <row r="2926" spans="29:31" x14ac:dyDescent="0.25">
      <c r="AC2926" s="52"/>
      <c r="AE2926"/>
    </row>
    <row r="2927" spans="29:31" x14ac:dyDescent="0.25">
      <c r="AC2927" s="52"/>
      <c r="AE2927"/>
    </row>
    <row r="2928" spans="29:31" x14ac:dyDescent="0.25">
      <c r="AC2928" s="52"/>
      <c r="AE2928"/>
    </row>
    <row r="2929" spans="29:31" x14ac:dyDescent="0.25">
      <c r="AC2929" s="52"/>
      <c r="AE2929"/>
    </row>
    <row r="2930" spans="29:31" x14ac:dyDescent="0.25">
      <c r="AC2930" s="52"/>
      <c r="AE2930"/>
    </row>
    <row r="2931" spans="29:31" x14ac:dyDescent="0.25">
      <c r="AC2931" s="52"/>
      <c r="AE2931"/>
    </row>
    <row r="2932" spans="29:31" x14ac:dyDescent="0.25">
      <c r="AC2932" s="52"/>
      <c r="AE2932"/>
    </row>
    <row r="2933" spans="29:31" x14ac:dyDescent="0.25">
      <c r="AC2933" s="52"/>
      <c r="AE2933"/>
    </row>
    <row r="2934" spans="29:31" x14ac:dyDescent="0.25">
      <c r="AC2934" s="52"/>
      <c r="AE2934"/>
    </row>
    <row r="2935" spans="29:31" x14ac:dyDescent="0.25">
      <c r="AC2935" s="52"/>
      <c r="AE2935"/>
    </row>
    <row r="2936" spans="29:31" x14ac:dyDescent="0.25">
      <c r="AC2936" s="52"/>
      <c r="AE2936"/>
    </row>
    <row r="2937" spans="29:31" x14ac:dyDescent="0.25">
      <c r="AC2937" s="52"/>
      <c r="AE2937"/>
    </row>
    <row r="2938" spans="29:31" x14ac:dyDescent="0.25">
      <c r="AC2938" s="52"/>
      <c r="AE2938"/>
    </row>
    <row r="2939" spans="29:31" x14ac:dyDescent="0.25">
      <c r="AC2939" s="52"/>
      <c r="AE2939"/>
    </row>
    <row r="2940" spans="29:31" x14ac:dyDescent="0.25">
      <c r="AC2940" s="52"/>
      <c r="AE2940"/>
    </row>
    <row r="2941" spans="29:31" x14ac:dyDescent="0.25">
      <c r="AC2941" s="52"/>
      <c r="AE2941"/>
    </row>
    <row r="2942" spans="29:31" x14ac:dyDescent="0.25">
      <c r="AC2942" s="52"/>
      <c r="AE2942"/>
    </row>
    <row r="2943" spans="29:31" x14ac:dyDescent="0.25">
      <c r="AC2943" s="52"/>
      <c r="AE2943"/>
    </row>
    <row r="2944" spans="29:31" x14ac:dyDescent="0.25">
      <c r="AC2944" s="52"/>
      <c r="AE2944"/>
    </row>
    <row r="2945" spans="29:31" x14ac:dyDescent="0.25">
      <c r="AC2945" s="52"/>
      <c r="AE2945"/>
    </row>
    <row r="2946" spans="29:31" x14ac:dyDescent="0.25">
      <c r="AC2946" s="52"/>
      <c r="AE2946"/>
    </row>
    <row r="2947" spans="29:31" x14ac:dyDescent="0.25">
      <c r="AC2947" s="52"/>
      <c r="AE2947"/>
    </row>
    <row r="2948" spans="29:31" x14ac:dyDescent="0.25">
      <c r="AC2948" s="52"/>
      <c r="AE2948"/>
    </row>
    <row r="2949" spans="29:31" x14ac:dyDescent="0.25">
      <c r="AC2949" s="52"/>
      <c r="AE2949"/>
    </row>
    <row r="2950" spans="29:31" x14ac:dyDescent="0.25">
      <c r="AC2950" s="52"/>
      <c r="AE2950"/>
    </row>
    <row r="2951" spans="29:31" x14ac:dyDescent="0.25">
      <c r="AC2951" s="52"/>
      <c r="AE2951"/>
    </row>
    <row r="2952" spans="29:31" x14ac:dyDescent="0.25">
      <c r="AC2952" s="52"/>
      <c r="AE2952"/>
    </row>
    <row r="2953" spans="29:31" x14ac:dyDescent="0.25">
      <c r="AC2953" s="52"/>
      <c r="AE2953"/>
    </row>
    <row r="2954" spans="29:31" x14ac:dyDescent="0.25">
      <c r="AC2954" s="52"/>
      <c r="AE2954"/>
    </row>
    <row r="2955" spans="29:31" x14ac:dyDescent="0.25">
      <c r="AC2955" s="52"/>
      <c r="AE2955"/>
    </row>
    <row r="2956" spans="29:31" x14ac:dyDescent="0.25">
      <c r="AC2956" s="52"/>
      <c r="AE2956"/>
    </row>
    <row r="2957" spans="29:31" x14ac:dyDescent="0.25">
      <c r="AC2957" s="52"/>
      <c r="AE2957"/>
    </row>
    <row r="2958" spans="29:31" x14ac:dyDescent="0.25">
      <c r="AC2958" s="52"/>
      <c r="AE2958"/>
    </row>
    <row r="2959" spans="29:31" x14ac:dyDescent="0.25">
      <c r="AC2959" s="52"/>
      <c r="AE2959"/>
    </row>
    <row r="2960" spans="29:31" x14ac:dyDescent="0.25">
      <c r="AC2960" s="52"/>
      <c r="AE2960"/>
    </row>
    <row r="2961" spans="29:31" x14ac:dyDescent="0.25">
      <c r="AC2961" s="52"/>
      <c r="AE2961"/>
    </row>
    <row r="2962" spans="29:31" x14ac:dyDescent="0.25">
      <c r="AC2962" s="52"/>
      <c r="AE2962"/>
    </row>
    <row r="2963" spans="29:31" x14ac:dyDescent="0.25">
      <c r="AC2963" s="52"/>
      <c r="AE2963"/>
    </row>
    <row r="2964" spans="29:31" x14ac:dyDescent="0.25">
      <c r="AC2964" s="52"/>
      <c r="AE2964"/>
    </row>
    <row r="2965" spans="29:31" x14ac:dyDescent="0.25">
      <c r="AC2965" s="52"/>
      <c r="AE2965"/>
    </row>
    <row r="2966" spans="29:31" x14ac:dyDescent="0.25">
      <c r="AC2966" s="52"/>
      <c r="AE2966"/>
    </row>
    <row r="2967" spans="29:31" x14ac:dyDescent="0.25">
      <c r="AC2967" s="52"/>
      <c r="AE2967"/>
    </row>
    <row r="2968" spans="29:31" x14ac:dyDescent="0.25">
      <c r="AC2968" s="52"/>
      <c r="AE2968"/>
    </row>
    <row r="2969" spans="29:31" x14ac:dyDescent="0.25">
      <c r="AC2969" s="52"/>
      <c r="AE2969"/>
    </row>
    <row r="2970" spans="29:31" x14ac:dyDescent="0.25">
      <c r="AC2970" s="52"/>
      <c r="AE2970"/>
    </row>
    <row r="2971" spans="29:31" x14ac:dyDescent="0.25">
      <c r="AC2971" s="52"/>
      <c r="AE2971"/>
    </row>
    <row r="2972" spans="29:31" x14ac:dyDescent="0.25">
      <c r="AC2972" s="52"/>
      <c r="AE2972"/>
    </row>
    <row r="2973" spans="29:31" x14ac:dyDescent="0.25">
      <c r="AC2973" s="52"/>
      <c r="AE2973"/>
    </row>
    <row r="2974" spans="29:31" x14ac:dyDescent="0.25">
      <c r="AC2974" s="52"/>
      <c r="AE2974"/>
    </row>
    <row r="2975" spans="29:31" x14ac:dyDescent="0.25">
      <c r="AC2975" s="52"/>
      <c r="AE2975"/>
    </row>
    <row r="2976" spans="29:31" x14ac:dyDescent="0.25">
      <c r="AC2976" s="52"/>
      <c r="AE2976"/>
    </row>
    <row r="2977" spans="29:31" x14ac:dyDescent="0.25">
      <c r="AC2977" s="52"/>
      <c r="AE2977"/>
    </row>
    <row r="2978" spans="29:31" x14ac:dyDescent="0.25">
      <c r="AC2978" s="52"/>
      <c r="AE2978"/>
    </row>
    <row r="2979" spans="29:31" x14ac:dyDescent="0.25">
      <c r="AC2979" s="52"/>
      <c r="AE2979"/>
    </row>
    <row r="2980" spans="29:31" x14ac:dyDescent="0.25">
      <c r="AC2980" s="52"/>
      <c r="AE2980"/>
    </row>
    <row r="2981" spans="29:31" x14ac:dyDescent="0.25">
      <c r="AC2981" s="52"/>
      <c r="AE2981"/>
    </row>
    <row r="2982" spans="29:31" x14ac:dyDescent="0.25">
      <c r="AC2982" s="52"/>
      <c r="AE2982"/>
    </row>
    <row r="2983" spans="29:31" x14ac:dyDescent="0.25">
      <c r="AC2983" s="52"/>
      <c r="AE2983"/>
    </row>
    <row r="2984" spans="29:31" x14ac:dyDescent="0.25">
      <c r="AC2984" s="52"/>
      <c r="AE2984"/>
    </row>
    <row r="2985" spans="29:31" x14ac:dyDescent="0.25">
      <c r="AC2985" s="52"/>
      <c r="AE2985"/>
    </row>
    <row r="2986" spans="29:31" x14ac:dyDescent="0.25">
      <c r="AC2986" s="52"/>
      <c r="AE2986"/>
    </row>
    <row r="2987" spans="29:31" x14ac:dyDescent="0.25">
      <c r="AC2987" s="52"/>
      <c r="AE2987"/>
    </row>
    <row r="2988" spans="29:31" x14ac:dyDescent="0.25">
      <c r="AC2988" s="52"/>
      <c r="AE2988"/>
    </row>
    <row r="2989" spans="29:31" x14ac:dyDescent="0.25">
      <c r="AC2989" s="52"/>
      <c r="AE2989"/>
    </row>
    <row r="2990" spans="29:31" x14ac:dyDescent="0.25">
      <c r="AC2990" s="52"/>
      <c r="AE2990"/>
    </row>
    <row r="2991" spans="29:31" x14ac:dyDescent="0.25">
      <c r="AC2991" s="52"/>
      <c r="AE2991"/>
    </row>
    <row r="2992" spans="29:31" x14ac:dyDescent="0.25">
      <c r="AC2992" s="52"/>
      <c r="AE2992"/>
    </row>
    <row r="2993" spans="29:31" x14ac:dyDescent="0.25">
      <c r="AC2993" s="52"/>
      <c r="AE2993"/>
    </row>
    <row r="2994" spans="29:31" x14ac:dyDescent="0.25">
      <c r="AC2994" s="52"/>
      <c r="AE2994"/>
    </row>
    <row r="2995" spans="29:31" x14ac:dyDescent="0.25">
      <c r="AC2995" s="52"/>
      <c r="AE2995"/>
    </row>
    <row r="2996" spans="29:31" x14ac:dyDescent="0.25">
      <c r="AC2996" s="52"/>
      <c r="AE2996"/>
    </row>
    <row r="2997" spans="29:31" x14ac:dyDescent="0.25">
      <c r="AC2997" s="52"/>
      <c r="AE2997"/>
    </row>
    <row r="2998" spans="29:31" x14ac:dyDescent="0.25">
      <c r="AC2998" s="52"/>
      <c r="AE2998"/>
    </row>
    <row r="2999" spans="29:31" x14ac:dyDescent="0.25">
      <c r="AC2999" s="52"/>
      <c r="AE2999"/>
    </row>
    <row r="3000" spans="29:31" x14ac:dyDescent="0.25">
      <c r="AC3000" s="52"/>
      <c r="AE3000"/>
    </row>
    <row r="3001" spans="29:31" x14ac:dyDescent="0.25">
      <c r="AC3001" s="52"/>
      <c r="AE3001"/>
    </row>
    <row r="3002" spans="29:31" x14ac:dyDescent="0.25">
      <c r="AC3002" s="52"/>
      <c r="AE3002"/>
    </row>
    <row r="3003" spans="29:31" x14ac:dyDescent="0.25">
      <c r="AC3003" s="52"/>
      <c r="AE3003"/>
    </row>
    <row r="3004" spans="29:31" x14ac:dyDescent="0.25">
      <c r="AC3004" s="52"/>
      <c r="AE3004"/>
    </row>
    <row r="3005" spans="29:31" x14ac:dyDescent="0.25">
      <c r="AC3005" s="52"/>
      <c r="AE3005"/>
    </row>
    <row r="3006" spans="29:31" x14ac:dyDescent="0.25">
      <c r="AC3006" s="52"/>
      <c r="AE3006"/>
    </row>
    <row r="3007" spans="29:31" x14ac:dyDescent="0.25">
      <c r="AC3007" s="52"/>
      <c r="AE3007"/>
    </row>
    <row r="3008" spans="29:31" x14ac:dyDescent="0.25">
      <c r="AC3008" s="52"/>
      <c r="AE3008"/>
    </row>
    <row r="3009" spans="29:31" x14ac:dyDescent="0.25">
      <c r="AC3009" s="52"/>
      <c r="AE3009"/>
    </row>
    <row r="3010" spans="29:31" x14ac:dyDescent="0.25">
      <c r="AC3010" s="52"/>
      <c r="AE3010"/>
    </row>
    <row r="3011" spans="29:31" x14ac:dyDescent="0.25">
      <c r="AC3011" s="52"/>
      <c r="AE3011"/>
    </row>
    <row r="3012" spans="29:31" x14ac:dyDescent="0.25">
      <c r="AC3012" s="52"/>
      <c r="AE3012"/>
    </row>
    <row r="3013" spans="29:31" x14ac:dyDescent="0.25">
      <c r="AC3013" s="52"/>
      <c r="AE3013"/>
    </row>
    <row r="3014" spans="29:31" x14ac:dyDescent="0.25">
      <c r="AC3014" s="52"/>
      <c r="AE3014"/>
    </row>
    <row r="3015" spans="29:31" x14ac:dyDescent="0.25">
      <c r="AC3015" s="52"/>
      <c r="AE3015"/>
    </row>
    <row r="3016" spans="29:31" x14ac:dyDescent="0.25">
      <c r="AC3016" s="52"/>
      <c r="AE3016"/>
    </row>
    <row r="3017" spans="29:31" x14ac:dyDescent="0.25">
      <c r="AC3017" s="52"/>
      <c r="AE3017"/>
    </row>
    <row r="3018" spans="29:31" x14ac:dyDescent="0.25">
      <c r="AC3018" s="52"/>
      <c r="AE3018"/>
    </row>
    <row r="3019" spans="29:31" x14ac:dyDescent="0.25">
      <c r="AC3019" s="52"/>
      <c r="AE3019"/>
    </row>
    <row r="3020" spans="29:31" x14ac:dyDescent="0.25">
      <c r="AC3020" s="52"/>
      <c r="AE3020"/>
    </row>
    <row r="3021" spans="29:31" x14ac:dyDescent="0.25">
      <c r="AC3021" s="52"/>
      <c r="AE3021"/>
    </row>
    <row r="3022" spans="29:31" x14ac:dyDescent="0.25">
      <c r="AC3022" s="52"/>
      <c r="AE3022"/>
    </row>
    <row r="3023" spans="29:31" x14ac:dyDescent="0.25">
      <c r="AC3023" s="52"/>
      <c r="AE3023"/>
    </row>
    <row r="3024" spans="29:31" x14ac:dyDescent="0.25">
      <c r="AC3024" s="52"/>
      <c r="AE3024"/>
    </row>
    <row r="3025" spans="29:31" x14ac:dyDescent="0.25">
      <c r="AC3025" s="52"/>
      <c r="AE3025"/>
    </row>
    <row r="3026" spans="29:31" x14ac:dyDescent="0.25">
      <c r="AC3026" s="52"/>
      <c r="AE3026"/>
    </row>
    <row r="3027" spans="29:31" x14ac:dyDescent="0.25">
      <c r="AC3027" s="52"/>
      <c r="AE3027"/>
    </row>
    <row r="3028" spans="29:31" x14ac:dyDescent="0.25">
      <c r="AC3028" s="52"/>
      <c r="AE3028"/>
    </row>
    <row r="3029" spans="29:31" x14ac:dyDescent="0.25">
      <c r="AC3029" s="52"/>
      <c r="AE3029"/>
    </row>
    <row r="3030" spans="29:31" x14ac:dyDescent="0.25">
      <c r="AC3030" s="52"/>
      <c r="AE3030"/>
    </row>
    <row r="3031" spans="29:31" x14ac:dyDescent="0.25">
      <c r="AC3031" s="52"/>
      <c r="AE3031"/>
    </row>
    <row r="3032" spans="29:31" x14ac:dyDescent="0.25">
      <c r="AC3032" s="52"/>
      <c r="AE3032"/>
    </row>
    <row r="3033" spans="29:31" x14ac:dyDescent="0.25">
      <c r="AC3033" s="52"/>
      <c r="AE3033"/>
    </row>
    <row r="3034" spans="29:31" x14ac:dyDescent="0.25">
      <c r="AC3034" s="52"/>
      <c r="AE3034"/>
    </row>
    <row r="3035" spans="29:31" x14ac:dyDescent="0.25">
      <c r="AC3035" s="52"/>
      <c r="AE3035"/>
    </row>
    <row r="3036" spans="29:31" x14ac:dyDescent="0.25">
      <c r="AC3036" s="52"/>
      <c r="AE3036"/>
    </row>
    <row r="3037" spans="29:31" x14ac:dyDescent="0.25">
      <c r="AC3037" s="52"/>
      <c r="AE3037"/>
    </row>
    <row r="3038" spans="29:31" x14ac:dyDescent="0.25">
      <c r="AC3038" s="52"/>
      <c r="AE3038"/>
    </row>
    <row r="3039" spans="29:31" x14ac:dyDescent="0.25">
      <c r="AC3039" s="52"/>
      <c r="AE3039"/>
    </row>
    <row r="3040" spans="29:31" x14ac:dyDescent="0.25">
      <c r="AC3040" s="52"/>
      <c r="AE3040"/>
    </row>
    <row r="3041" spans="29:31" x14ac:dyDescent="0.25">
      <c r="AC3041" s="52"/>
      <c r="AE3041"/>
    </row>
    <row r="3042" spans="29:31" x14ac:dyDescent="0.25">
      <c r="AC3042" s="52"/>
      <c r="AE3042"/>
    </row>
    <row r="3043" spans="29:31" x14ac:dyDescent="0.25">
      <c r="AC3043" s="52"/>
      <c r="AE3043"/>
    </row>
    <row r="3044" spans="29:31" x14ac:dyDescent="0.25">
      <c r="AC3044" s="52"/>
      <c r="AE3044"/>
    </row>
    <row r="3045" spans="29:31" x14ac:dyDescent="0.25">
      <c r="AC3045" s="52"/>
      <c r="AE3045"/>
    </row>
    <row r="3046" spans="29:31" x14ac:dyDescent="0.25">
      <c r="AC3046" s="52"/>
      <c r="AE3046"/>
    </row>
    <row r="3047" spans="29:31" x14ac:dyDescent="0.25">
      <c r="AC3047" s="52"/>
      <c r="AE3047"/>
    </row>
    <row r="3048" spans="29:31" x14ac:dyDescent="0.25">
      <c r="AC3048" s="52"/>
      <c r="AE3048"/>
    </row>
    <row r="3049" spans="29:31" x14ac:dyDescent="0.25">
      <c r="AC3049" s="52"/>
      <c r="AE3049"/>
    </row>
    <row r="3050" spans="29:31" x14ac:dyDescent="0.25">
      <c r="AC3050" s="52"/>
      <c r="AE3050"/>
    </row>
    <row r="3051" spans="29:31" x14ac:dyDescent="0.25">
      <c r="AC3051" s="52"/>
      <c r="AE3051"/>
    </row>
    <row r="3052" spans="29:31" x14ac:dyDescent="0.25">
      <c r="AC3052" s="52"/>
      <c r="AE3052"/>
    </row>
    <row r="3053" spans="29:31" x14ac:dyDescent="0.25">
      <c r="AC3053" s="52"/>
      <c r="AE3053"/>
    </row>
    <row r="3054" spans="29:31" x14ac:dyDescent="0.25">
      <c r="AC3054" s="52"/>
      <c r="AE3054"/>
    </row>
    <row r="3055" spans="29:31" x14ac:dyDescent="0.25">
      <c r="AC3055" s="52"/>
      <c r="AE3055"/>
    </row>
    <row r="3056" spans="29:31" x14ac:dyDescent="0.25">
      <c r="AC3056" s="52"/>
      <c r="AE3056"/>
    </row>
    <row r="3057" spans="29:31" x14ac:dyDescent="0.25">
      <c r="AC3057" s="52"/>
      <c r="AE3057"/>
    </row>
    <row r="3058" spans="29:31" x14ac:dyDescent="0.25">
      <c r="AC3058" s="52"/>
      <c r="AE3058"/>
    </row>
    <row r="3059" spans="29:31" x14ac:dyDescent="0.25">
      <c r="AC3059" s="52"/>
      <c r="AE3059"/>
    </row>
    <row r="3060" spans="29:31" x14ac:dyDescent="0.25">
      <c r="AC3060" s="52"/>
      <c r="AE3060"/>
    </row>
    <row r="3061" spans="29:31" x14ac:dyDescent="0.25">
      <c r="AC3061" s="52"/>
      <c r="AE3061"/>
    </row>
    <row r="3062" spans="29:31" x14ac:dyDescent="0.25">
      <c r="AC3062" s="52"/>
      <c r="AE3062"/>
    </row>
    <row r="3063" spans="29:31" x14ac:dyDescent="0.25">
      <c r="AC3063" s="52"/>
      <c r="AE3063"/>
    </row>
    <row r="3064" spans="29:31" x14ac:dyDescent="0.25">
      <c r="AC3064" s="52"/>
      <c r="AE3064"/>
    </row>
    <row r="3065" spans="29:31" x14ac:dyDescent="0.25">
      <c r="AC3065" s="52"/>
      <c r="AE3065"/>
    </row>
    <row r="3066" spans="29:31" x14ac:dyDescent="0.25">
      <c r="AC3066" s="52"/>
      <c r="AE3066"/>
    </row>
    <row r="3067" spans="29:31" x14ac:dyDescent="0.25">
      <c r="AC3067" s="52"/>
      <c r="AE3067"/>
    </row>
    <row r="3068" spans="29:31" x14ac:dyDescent="0.25">
      <c r="AC3068" s="52"/>
      <c r="AE3068"/>
    </row>
    <row r="3069" spans="29:31" x14ac:dyDescent="0.25">
      <c r="AC3069" s="52"/>
      <c r="AE3069"/>
    </row>
    <row r="3070" spans="29:31" x14ac:dyDescent="0.25">
      <c r="AC3070" s="52"/>
      <c r="AE3070"/>
    </row>
    <row r="3071" spans="29:31" x14ac:dyDescent="0.25">
      <c r="AC3071" s="52"/>
      <c r="AE3071"/>
    </row>
    <row r="3072" spans="29:31" x14ac:dyDescent="0.25">
      <c r="AC3072" s="52"/>
      <c r="AE3072"/>
    </row>
    <row r="3073" spans="29:31" x14ac:dyDescent="0.25">
      <c r="AC3073" s="52"/>
      <c r="AE3073"/>
    </row>
    <row r="3074" spans="29:31" x14ac:dyDescent="0.25">
      <c r="AC3074" s="52"/>
      <c r="AE3074"/>
    </row>
    <row r="3075" spans="29:31" x14ac:dyDescent="0.25">
      <c r="AC3075" s="52"/>
      <c r="AE3075"/>
    </row>
    <row r="3076" spans="29:31" x14ac:dyDescent="0.25">
      <c r="AC3076" s="52"/>
      <c r="AE3076"/>
    </row>
    <row r="3077" spans="29:31" x14ac:dyDescent="0.25">
      <c r="AC3077" s="52"/>
      <c r="AE3077"/>
    </row>
    <row r="3078" spans="29:31" x14ac:dyDescent="0.25">
      <c r="AC3078" s="52"/>
      <c r="AE3078"/>
    </row>
    <row r="3079" spans="29:31" x14ac:dyDescent="0.25">
      <c r="AC3079" s="52"/>
      <c r="AE3079"/>
    </row>
    <row r="3080" spans="29:31" x14ac:dyDescent="0.25">
      <c r="AC3080" s="52"/>
      <c r="AE3080"/>
    </row>
    <row r="3081" spans="29:31" x14ac:dyDescent="0.25">
      <c r="AC3081" s="52"/>
      <c r="AE3081"/>
    </row>
    <row r="3082" spans="29:31" x14ac:dyDescent="0.25">
      <c r="AC3082" s="52"/>
      <c r="AE3082"/>
    </row>
    <row r="3083" spans="29:31" x14ac:dyDescent="0.25">
      <c r="AC3083" s="52"/>
      <c r="AE3083"/>
    </row>
    <row r="3084" spans="29:31" x14ac:dyDescent="0.25">
      <c r="AC3084" s="52"/>
      <c r="AE3084"/>
    </row>
    <row r="3085" spans="29:31" x14ac:dyDescent="0.25">
      <c r="AC3085" s="52"/>
      <c r="AE3085"/>
    </row>
    <row r="3086" spans="29:31" x14ac:dyDescent="0.25">
      <c r="AC3086" s="52"/>
      <c r="AE3086"/>
    </row>
    <row r="3087" spans="29:31" x14ac:dyDescent="0.25">
      <c r="AC3087" s="52"/>
      <c r="AE3087"/>
    </row>
    <row r="3088" spans="29:31" x14ac:dyDescent="0.25">
      <c r="AC3088" s="52"/>
      <c r="AE3088"/>
    </row>
    <row r="3089" spans="29:31" x14ac:dyDescent="0.25">
      <c r="AC3089" s="52"/>
      <c r="AE3089"/>
    </row>
    <row r="3090" spans="29:31" x14ac:dyDescent="0.25">
      <c r="AC3090" s="52"/>
      <c r="AE3090"/>
    </row>
    <row r="3091" spans="29:31" x14ac:dyDescent="0.25">
      <c r="AC3091" s="52"/>
      <c r="AE3091"/>
    </row>
    <row r="3092" spans="29:31" x14ac:dyDescent="0.25">
      <c r="AC3092" s="52"/>
      <c r="AE3092"/>
    </row>
    <row r="3093" spans="29:31" x14ac:dyDescent="0.25">
      <c r="AC3093" s="52"/>
      <c r="AE3093"/>
    </row>
    <row r="3094" spans="29:31" x14ac:dyDescent="0.25">
      <c r="AC3094" s="52"/>
      <c r="AE3094"/>
    </row>
    <row r="3095" spans="29:31" x14ac:dyDescent="0.25">
      <c r="AC3095" s="52"/>
      <c r="AE3095"/>
    </row>
    <row r="3096" spans="29:31" x14ac:dyDescent="0.25">
      <c r="AC3096" s="52"/>
      <c r="AE3096"/>
    </row>
    <row r="3097" spans="29:31" x14ac:dyDescent="0.25">
      <c r="AC3097" s="52"/>
      <c r="AE3097"/>
    </row>
    <row r="3098" spans="29:31" x14ac:dyDescent="0.25">
      <c r="AC3098" s="52"/>
      <c r="AE3098"/>
    </row>
    <row r="3099" spans="29:31" x14ac:dyDescent="0.25">
      <c r="AC3099" s="52"/>
      <c r="AE3099"/>
    </row>
    <row r="3100" spans="29:31" x14ac:dyDescent="0.25">
      <c r="AC3100" s="52"/>
      <c r="AE3100"/>
    </row>
    <row r="3101" spans="29:31" x14ac:dyDescent="0.25">
      <c r="AC3101" s="52"/>
      <c r="AE3101"/>
    </row>
    <row r="3102" spans="29:31" x14ac:dyDescent="0.25">
      <c r="AC3102" s="52"/>
      <c r="AE3102"/>
    </row>
    <row r="3103" spans="29:31" x14ac:dyDescent="0.25">
      <c r="AC3103" s="52"/>
      <c r="AE3103"/>
    </row>
    <row r="3104" spans="29:31" x14ac:dyDescent="0.25">
      <c r="AC3104" s="52"/>
      <c r="AE3104"/>
    </row>
    <row r="3105" spans="29:31" x14ac:dyDescent="0.25">
      <c r="AC3105" s="52"/>
      <c r="AE3105"/>
    </row>
    <row r="3106" spans="29:31" x14ac:dyDescent="0.25">
      <c r="AC3106" s="52"/>
      <c r="AE3106"/>
    </row>
    <row r="3107" spans="29:31" x14ac:dyDescent="0.25">
      <c r="AC3107" s="52"/>
      <c r="AE3107"/>
    </row>
    <row r="3108" spans="29:31" x14ac:dyDescent="0.25">
      <c r="AC3108" s="52"/>
      <c r="AE3108"/>
    </row>
    <row r="3109" spans="29:31" x14ac:dyDescent="0.25">
      <c r="AC3109" s="52"/>
      <c r="AE3109"/>
    </row>
    <row r="3110" spans="29:31" x14ac:dyDescent="0.25">
      <c r="AC3110" s="52"/>
      <c r="AE3110"/>
    </row>
    <row r="3111" spans="29:31" x14ac:dyDescent="0.25">
      <c r="AC3111" s="52"/>
      <c r="AE3111"/>
    </row>
    <row r="3112" spans="29:31" x14ac:dyDescent="0.25">
      <c r="AC3112" s="52"/>
      <c r="AE3112"/>
    </row>
    <row r="3113" spans="29:31" x14ac:dyDescent="0.25">
      <c r="AC3113" s="52"/>
      <c r="AE3113"/>
    </row>
    <row r="3114" spans="29:31" x14ac:dyDescent="0.25">
      <c r="AC3114" s="52"/>
      <c r="AE3114"/>
    </row>
    <row r="3115" spans="29:31" x14ac:dyDescent="0.25">
      <c r="AC3115" s="52"/>
      <c r="AE3115"/>
    </row>
    <row r="3116" spans="29:31" x14ac:dyDescent="0.25">
      <c r="AC3116" s="52"/>
      <c r="AE3116"/>
    </row>
    <row r="3117" spans="29:31" x14ac:dyDescent="0.25">
      <c r="AC3117" s="52"/>
      <c r="AE3117"/>
    </row>
    <row r="3118" spans="29:31" x14ac:dyDescent="0.25">
      <c r="AC3118" s="52"/>
      <c r="AE3118"/>
    </row>
    <row r="3119" spans="29:31" x14ac:dyDescent="0.25">
      <c r="AC3119" s="52"/>
      <c r="AE3119"/>
    </row>
    <row r="3120" spans="29:31" x14ac:dyDescent="0.25">
      <c r="AC3120" s="52"/>
      <c r="AE3120"/>
    </row>
    <row r="3121" spans="29:31" x14ac:dyDescent="0.25">
      <c r="AC3121" s="52"/>
      <c r="AE3121"/>
    </row>
    <row r="3122" spans="29:31" x14ac:dyDescent="0.25">
      <c r="AC3122" s="52"/>
      <c r="AE3122"/>
    </row>
    <row r="3123" spans="29:31" x14ac:dyDescent="0.25">
      <c r="AC3123" s="52"/>
      <c r="AE3123"/>
    </row>
    <row r="3124" spans="29:31" x14ac:dyDescent="0.25">
      <c r="AC3124" s="52"/>
      <c r="AE3124"/>
    </row>
    <row r="3125" spans="29:31" x14ac:dyDescent="0.25">
      <c r="AC3125" s="52"/>
      <c r="AE3125"/>
    </row>
    <row r="3126" spans="29:31" x14ac:dyDescent="0.25">
      <c r="AC3126" s="52"/>
      <c r="AE3126"/>
    </row>
    <row r="3127" spans="29:31" x14ac:dyDescent="0.25">
      <c r="AC3127" s="52"/>
      <c r="AE3127"/>
    </row>
    <row r="3128" spans="29:31" x14ac:dyDescent="0.25">
      <c r="AC3128" s="52"/>
      <c r="AE3128"/>
    </row>
    <row r="3129" spans="29:31" x14ac:dyDescent="0.25">
      <c r="AC3129" s="52"/>
      <c r="AE3129"/>
    </row>
    <row r="3130" spans="29:31" x14ac:dyDescent="0.25">
      <c r="AC3130" s="52"/>
      <c r="AE3130"/>
    </row>
    <row r="3131" spans="29:31" x14ac:dyDescent="0.25">
      <c r="AC3131" s="52"/>
      <c r="AE3131"/>
    </row>
    <row r="3132" spans="29:31" x14ac:dyDescent="0.25">
      <c r="AC3132" s="52"/>
      <c r="AE3132"/>
    </row>
    <row r="3133" spans="29:31" x14ac:dyDescent="0.25">
      <c r="AC3133" s="52"/>
      <c r="AE3133"/>
    </row>
    <row r="3134" spans="29:31" x14ac:dyDescent="0.25">
      <c r="AC3134" s="52"/>
      <c r="AE3134"/>
    </row>
    <row r="3135" spans="29:31" x14ac:dyDescent="0.25">
      <c r="AC3135" s="52"/>
      <c r="AE3135"/>
    </row>
    <row r="3136" spans="29:31" x14ac:dyDescent="0.25">
      <c r="AC3136" s="52"/>
      <c r="AE3136"/>
    </row>
    <row r="3137" spans="29:31" x14ac:dyDescent="0.25">
      <c r="AC3137" s="52"/>
      <c r="AE3137"/>
    </row>
    <row r="3138" spans="29:31" x14ac:dyDescent="0.25">
      <c r="AC3138" s="52"/>
      <c r="AE3138"/>
    </row>
    <row r="3139" spans="29:31" x14ac:dyDescent="0.25">
      <c r="AC3139" s="52"/>
      <c r="AE3139"/>
    </row>
    <row r="3140" spans="29:31" x14ac:dyDescent="0.25">
      <c r="AC3140" s="52"/>
      <c r="AE3140"/>
    </row>
    <row r="3141" spans="29:31" x14ac:dyDescent="0.25">
      <c r="AC3141" s="52"/>
      <c r="AE3141"/>
    </row>
    <row r="3142" spans="29:31" x14ac:dyDescent="0.25">
      <c r="AC3142" s="52"/>
      <c r="AE3142"/>
    </row>
    <row r="3143" spans="29:31" x14ac:dyDescent="0.25">
      <c r="AC3143" s="52"/>
      <c r="AE3143"/>
    </row>
    <row r="3144" spans="29:31" x14ac:dyDescent="0.25">
      <c r="AC3144" s="52"/>
      <c r="AE3144"/>
    </row>
    <row r="3145" spans="29:31" x14ac:dyDescent="0.25">
      <c r="AC3145" s="52"/>
      <c r="AE3145"/>
    </row>
    <row r="3146" spans="29:31" x14ac:dyDescent="0.25">
      <c r="AC3146" s="52"/>
      <c r="AE3146"/>
    </row>
    <row r="3147" spans="29:31" x14ac:dyDescent="0.25">
      <c r="AC3147" s="52"/>
      <c r="AE3147"/>
    </row>
    <row r="3148" spans="29:31" x14ac:dyDescent="0.25">
      <c r="AC3148" s="52"/>
      <c r="AE3148"/>
    </row>
    <row r="3149" spans="29:31" x14ac:dyDescent="0.25">
      <c r="AC3149" s="52"/>
      <c r="AE3149"/>
    </row>
    <row r="3150" spans="29:31" x14ac:dyDescent="0.25">
      <c r="AC3150" s="52"/>
      <c r="AE3150"/>
    </row>
    <row r="3151" spans="29:31" x14ac:dyDescent="0.25">
      <c r="AC3151" s="52"/>
      <c r="AE3151"/>
    </row>
    <row r="3152" spans="29:31" x14ac:dyDescent="0.25">
      <c r="AC3152" s="52"/>
      <c r="AE3152"/>
    </row>
    <row r="3153" spans="29:31" x14ac:dyDescent="0.25">
      <c r="AC3153" s="52"/>
      <c r="AE3153"/>
    </row>
    <row r="3154" spans="29:31" x14ac:dyDescent="0.25">
      <c r="AC3154" s="52"/>
      <c r="AE3154"/>
    </row>
    <row r="3155" spans="29:31" x14ac:dyDescent="0.25">
      <c r="AC3155" s="52"/>
      <c r="AE3155"/>
    </row>
    <row r="3156" spans="29:31" x14ac:dyDescent="0.25">
      <c r="AC3156" s="52"/>
      <c r="AE3156"/>
    </row>
    <row r="3157" spans="29:31" x14ac:dyDescent="0.25">
      <c r="AC3157" s="52"/>
      <c r="AE3157"/>
    </row>
    <row r="3158" spans="29:31" x14ac:dyDescent="0.25">
      <c r="AC3158" s="52"/>
      <c r="AE3158"/>
    </row>
    <row r="3159" spans="29:31" x14ac:dyDescent="0.25">
      <c r="AC3159" s="52"/>
      <c r="AE3159"/>
    </row>
    <row r="3160" spans="29:31" x14ac:dyDescent="0.25">
      <c r="AC3160" s="52"/>
      <c r="AE3160"/>
    </row>
    <row r="3161" spans="29:31" x14ac:dyDescent="0.25">
      <c r="AC3161" s="52"/>
      <c r="AE3161"/>
    </row>
    <row r="3162" spans="29:31" x14ac:dyDescent="0.25">
      <c r="AC3162" s="52"/>
      <c r="AE3162"/>
    </row>
    <row r="3163" spans="29:31" x14ac:dyDescent="0.25">
      <c r="AC3163" s="52"/>
      <c r="AE3163"/>
    </row>
    <row r="3164" spans="29:31" x14ac:dyDescent="0.25">
      <c r="AC3164" s="52"/>
      <c r="AE3164"/>
    </row>
    <row r="3165" spans="29:31" x14ac:dyDescent="0.25">
      <c r="AC3165" s="52"/>
      <c r="AE3165"/>
    </row>
    <row r="3166" spans="29:31" x14ac:dyDescent="0.25">
      <c r="AC3166" s="52"/>
      <c r="AE3166"/>
    </row>
    <row r="3167" spans="29:31" x14ac:dyDescent="0.25">
      <c r="AC3167" s="52"/>
      <c r="AE3167"/>
    </row>
    <row r="3168" spans="29:31" x14ac:dyDescent="0.25">
      <c r="AC3168" s="52"/>
      <c r="AE3168"/>
    </row>
    <row r="3169" spans="29:31" x14ac:dyDescent="0.25">
      <c r="AC3169" s="52"/>
      <c r="AE3169"/>
    </row>
    <row r="3170" spans="29:31" x14ac:dyDescent="0.25">
      <c r="AC3170" s="52"/>
      <c r="AE3170"/>
    </row>
    <row r="3171" spans="29:31" x14ac:dyDescent="0.25">
      <c r="AC3171" s="52"/>
      <c r="AE3171"/>
    </row>
    <row r="3172" spans="29:31" x14ac:dyDescent="0.25">
      <c r="AC3172" s="52"/>
      <c r="AE3172"/>
    </row>
    <row r="3173" spans="29:31" x14ac:dyDescent="0.25">
      <c r="AC3173" s="52"/>
      <c r="AE3173"/>
    </row>
    <row r="3174" spans="29:31" x14ac:dyDescent="0.25">
      <c r="AC3174" s="52"/>
      <c r="AE3174"/>
    </row>
    <row r="3175" spans="29:31" x14ac:dyDescent="0.25">
      <c r="AC3175" s="52"/>
      <c r="AE3175"/>
    </row>
    <row r="3176" spans="29:31" x14ac:dyDescent="0.25">
      <c r="AC3176" s="52"/>
      <c r="AE3176"/>
    </row>
    <row r="3177" spans="29:31" x14ac:dyDescent="0.25">
      <c r="AC3177" s="52"/>
      <c r="AE3177"/>
    </row>
    <row r="3178" spans="29:31" x14ac:dyDescent="0.25">
      <c r="AC3178" s="52"/>
      <c r="AE3178"/>
    </row>
    <row r="3179" spans="29:31" x14ac:dyDescent="0.25">
      <c r="AC3179" s="52"/>
      <c r="AE3179"/>
    </row>
    <row r="3180" spans="29:31" x14ac:dyDescent="0.25">
      <c r="AC3180" s="52"/>
      <c r="AE3180"/>
    </row>
    <row r="3181" spans="29:31" x14ac:dyDescent="0.25">
      <c r="AC3181" s="52"/>
      <c r="AE3181"/>
    </row>
    <row r="3182" spans="29:31" x14ac:dyDescent="0.25">
      <c r="AC3182" s="52"/>
      <c r="AE3182"/>
    </row>
    <row r="3183" spans="29:31" x14ac:dyDescent="0.25">
      <c r="AC3183" s="52"/>
      <c r="AE3183"/>
    </row>
    <row r="3184" spans="29:31" x14ac:dyDescent="0.25">
      <c r="AC3184" s="52"/>
      <c r="AE3184"/>
    </row>
    <row r="3185" spans="29:31" x14ac:dyDescent="0.25">
      <c r="AC3185" s="52"/>
      <c r="AE3185"/>
    </row>
    <row r="3186" spans="29:31" x14ac:dyDescent="0.25">
      <c r="AC3186" s="52"/>
      <c r="AE3186"/>
    </row>
    <row r="3187" spans="29:31" x14ac:dyDescent="0.25">
      <c r="AC3187" s="52"/>
      <c r="AE3187"/>
    </row>
    <row r="3188" spans="29:31" x14ac:dyDescent="0.25">
      <c r="AC3188" s="52"/>
      <c r="AE3188"/>
    </row>
    <row r="3189" spans="29:31" x14ac:dyDescent="0.25">
      <c r="AC3189" s="52"/>
      <c r="AE3189"/>
    </row>
    <row r="3190" spans="29:31" x14ac:dyDescent="0.25">
      <c r="AC3190" s="52"/>
      <c r="AE3190"/>
    </row>
    <row r="3191" spans="29:31" x14ac:dyDescent="0.25">
      <c r="AC3191" s="52"/>
      <c r="AE3191"/>
    </row>
    <row r="3192" spans="29:31" x14ac:dyDescent="0.25">
      <c r="AC3192" s="52"/>
      <c r="AE3192"/>
    </row>
    <row r="3193" spans="29:31" x14ac:dyDescent="0.25">
      <c r="AC3193" s="52"/>
      <c r="AE3193"/>
    </row>
    <row r="3194" spans="29:31" x14ac:dyDescent="0.25">
      <c r="AC3194" s="52"/>
      <c r="AE3194"/>
    </row>
    <row r="3195" spans="29:31" x14ac:dyDescent="0.25">
      <c r="AC3195" s="52"/>
      <c r="AE3195"/>
    </row>
    <row r="3196" spans="29:31" x14ac:dyDescent="0.25">
      <c r="AC3196" s="52"/>
      <c r="AE3196"/>
    </row>
    <row r="3197" spans="29:31" x14ac:dyDescent="0.25">
      <c r="AC3197" s="52"/>
      <c r="AE3197"/>
    </row>
    <row r="3198" spans="29:31" x14ac:dyDescent="0.25">
      <c r="AC3198" s="52"/>
      <c r="AE3198"/>
    </row>
    <row r="3199" spans="29:31" x14ac:dyDescent="0.25">
      <c r="AC3199" s="52"/>
      <c r="AE3199"/>
    </row>
    <row r="3200" spans="29:31" x14ac:dyDescent="0.25">
      <c r="AC3200" s="52"/>
      <c r="AE3200"/>
    </row>
    <row r="3201" spans="29:31" x14ac:dyDescent="0.25">
      <c r="AC3201" s="52"/>
      <c r="AE3201"/>
    </row>
    <row r="3202" spans="29:31" x14ac:dyDescent="0.25">
      <c r="AC3202" s="52"/>
      <c r="AE3202"/>
    </row>
    <row r="3203" spans="29:31" x14ac:dyDescent="0.25">
      <c r="AC3203" s="52"/>
      <c r="AE3203"/>
    </row>
    <row r="3204" spans="29:31" x14ac:dyDescent="0.25">
      <c r="AC3204" s="52"/>
      <c r="AE3204"/>
    </row>
    <row r="3205" spans="29:31" x14ac:dyDescent="0.25">
      <c r="AC3205" s="52"/>
      <c r="AE3205"/>
    </row>
    <row r="3206" spans="29:31" x14ac:dyDescent="0.25">
      <c r="AC3206" s="52"/>
      <c r="AE3206"/>
    </row>
    <row r="3207" spans="29:31" x14ac:dyDescent="0.25">
      <c r="AC3207" s="52"/>
      <c r="AE3207"/>
    </row>
    <row r="3208" spans="29:31" x14ac:dyDescent="0.25">
      <c r="AC3208" s="52"/>
      <c r="AE3208"/>
    </row>
    <row r="3209" spans="29:31" x14ac:dyDescent="0.25">
      <c r="AC3209" s="52"/>
      <c r="AE3209"/>
    </row>
    <row r="3210" spans="29:31" x14ac:dyDescent="0.25">
      <c r="AC3210" s="52"/>
      <c r="AE3210"/>
    </row>
    <row r="3211" spans="29:31" x14ac:dyDescent="0.25">
      <c r="AC3211" s="52"/>
      <c r="AE3211"/>
    </row>
    <row r="3212" spans="29:31" x14ac:dyDescent="0.25">
      <c r="AC3212" s="52"/>
      <c r="AE3212"/>
    </row>
    <row r="3213" spans="29:31" x14ac:dyDescent="0.25">
      <c r="AC3213" s="52"/>
      <c r="AE3213"/>
    </row>
    <row r="3214" spans="29:31" x14ac:dyDescent="0.25">
      <c r="AC3214" s="52"/>
      <c r="AE3214"/>
    </row>
    <row r="3215" spans="29:31" x14ac:dyDescent="0.25">
      <c r="AC3215" s="52"/>
      <c r="AE3215"/>
    </row>
    <row r="3216" spans="29:31" x14ac:dyDescent="0.25">
      <c r="AC3216" s="52"/>
      <c r="AE3216"/>
    </row>
    <row r="3217" spans="29:31" x14ac:dyDescent="0.25">
      <c r="AC3217" s="52"/>
      <c r="AE3217"/>
    </row>
    <row r="3218" spans="29:31" x14ac:dyDescent="0.25">
      <c r="AC3218" s="52"/>
      <c r="AE3218"/>
    </row>
    <row r="3219" spans="29:31" x14ac:dyDescent="0.25">
      <c r="AC3219" s="52"/>
      <c r="AE3219"/>
    </row>
    <row r="3220" spans="29:31" x14ac:dyDescent="0.25">
      <c r="AC3220" s="52"/>
      <c r="AE3220"/>
    </row>
    <row r="3221" spans="29:31" x14ac:dyDescent="0.25">
      <c r="AC3221" s="52"/>
      <c r="AE3221"/>
    </row>
    <row r="3222" spans="29:31" x14ac:dyDescent="0.25">
      <c r="AC3222" s="52"/>
      <c r="AE3222"/>
    </row>
    <row r="3223" spans="29:31" x14ac:dyDescent="0.25">
      <c r="AC3223" s="52"/>
      <c r="AE3223"/>
    </row>
    <row r="3224" spans="29:31" x14ac:dyDescent="0.25">
      <c r="AC3224" s="52"/>
      <c r="AE3224"/>
    </row>
    <row r="3225" spans="29:31" x14ac:dyDescent="0.25">
      <c r="AC3225" s="52"/>
      <c r="AE3225"/>
    </row>
    <row r="3226" spans="29:31" x14ac:dyDescent="0.25">
      <c r="AC3226" s="52"/>
      <c r="AE3226"/>
    </row>
    <row r="3227" spans="29:31" x14ac:dyDescent="0.25">
      <c r="AC3227" s="52"/>
      <c r="AE3227"/>
    </row>
    <row r="3228" spans="29:31" x14ac:dyDescent="0.25">
      <c r="AC3228" s="52"/>
      <c r="AE3228"/>
    </row>
    <row r="3229" spans="29:31" x14ac:dyDescent="0.25">
      <c r="AC3229" s="52"/>
      <c r="AE3229"/>
    </row>
    <row r="3230" spans="29:31" x14ac:dyDescent="0.25">
      <c r="AC3230" s="52"/>
      <c r="AE3230"/>
    </row>
    <row r="3231" spans="29:31" x14ac:dyDescent="0.25">
      <c r="AC3231" s="52"/>
      <c r="AE3231"/>
    </row>
    <row r="3232" spans="29:31" x14ac:dyDescent="0.25">
      <c r="AC3232" s="52"/>
      <c r="AE3232"/>
    </row>
    <row r="3233" spans="29:31" x14ac:dyDescent="0.25">
      <c r="AC3233" s="52"/>
      <c r="AE3233"/>
    </row>
    <row r="3234" spans="29:31" x14ac:dyDescent="0.25">
      <c r="AC3234" s="52"/>
      <c r="AE3234"/>
    </row>
    <row r="3235" spans="29:31" x14ac:dyDescent="0.25">
      <c r="AC3235" s="52"/>
      <c r="AE3235"/>
    </row>
    <row r="3236" spans="29:31" x14ac:dyDescent="0.25">
      <c r="AC3236" s="52"/>
      <c r="AE3236"/>
    </row>
    <row r="3237" spans="29:31" x14ac:dyDescent="0.25">
      <c r="AC3237" s="52"/>
      <c r="AE3237"/>
    </row>
    <row r="3238" spans="29:31" x14ac:dyDescent="0.25">
      <c r="AC3238" s="52"/>
      <c r="AE3238"/>
    </row>
    <row r="3239" spans="29:31" x14ac:dyDescent="0.25">
      <c r="AC3239" s="52"/>
      <c r="AE3239"/>
    </row>
    <row r="3240" spans="29:31" x14ac:dyDescent="0.25">
      <c r="AC3240" s="52"/>
      <c r="AE3240"/>
    </row>
    <row r="3241" spans="29:31" x14ac:dyDescent="0.25">
      <c r="AC3241" s="52"/>
      <c r="AE3241"/>
    </row>
    <row r="3242" spans="29:31" x14ac:dyDescent="0.25">
      <c r="AC3242" s="52"/>
      <c r="AE3242"/>
    </row>
    <row r="3243" spans="29:31" x14ac:dyDescent="0.25">
      <c r="AC3243" s="52"/>
      <c r="AE3243"/>
    </row>
    <row r="3244" spans="29:31" x14ac:dyDescent="0.25">
      <c r="AC3244" s="52"/>
      <c r="AE3244"/>
    </row>
    <row r="3245" spans="29:31" x14ac:dyDescent="0.25">
      <c r="AC3245" s="52"/>
      <c r="AE3245"/>
    </row>
    <row r="3246" spans="29:31" x14ac:dyDescent="0.25">
      <c r="AC3246" s="52"/>
      <c r="AE3246"/>
    </row>
    <row r="3247" spans="29:31" x14ac:dyDescent="0.25">
      <c r="AC3247" s="52"/>
      <c r="AE3247"/>
    </row>
    <row r="3248" spans="29:31" x14ac:dyDescent="0.25">
      <c r="AC3248" s="52"/>
      <c r="AE3248"/>
    </row>
    <row r="3249" spans="29:31" x14ac:dyDescent="0.25">
      <c r="AC3249" s="52"/>
      <c r="AE3249"/>
    </row>
    <row r="3250" spans="29:31" x14ac:dyDescent="0.25">
      <c r="AC3250" s="52"/>
      <c r="AE3250"/>
    </row>
    <row r="3251" spans="29:31" x14ac:dyDescent="0.25">
      <c r="AC3251" s="52"/>
      <c r="AE3251"/>
    </row>
    <row r="3252" spans="29:31" x14ac:dyDescent="0.25">
      <c r="AC3252" s="52"/>
      <c r="AE3252"/>
    </row>
    <row r="3253" spans="29:31" x14ac:dyDescent="0.25">
      <c r="AC3253" s="52"/>
      <c r="AE3253"/>
    </row>
    <row r="3254" spans="29:31" x14ac:dyDescent="0.25">
      <c r="AC3254" s="52"/>
      <c r="AE3254"/>
    </row>
    <row r="3255" spans="29:31" x14ac:dyDescent="0.25">
      <c r="AC3255" s="52"/>
      <c r="AE3255"/>
    </row>
    <row r="3256" spans="29:31" x14ac:dyDescent="0.25">
      <c r="AC3256" s="52"/>
      <c r="AE3256"/>
    </row>
    <row r="3257" spans="29:31" x14ac:dyDescent="0.25">
      <c r="AC3257" s="52"/>
      <c r="AE3257"/>
    </row>
    <row r="3258" spans="29:31" x14ac:dyDescent="0.25">
      <c r="AC3258" s="52"/>
      <c r="AE3258"/>
    </row>
    <row r="3259" spans="29:31" x14ac:dyDescent="0.25">
      <c r="AC3259" s="52"/>
      <c r="AE3259"/>
    </row>
    <row r="3260" spans="29:31" x14ac:dyDescent="0.25">
      <c r="AC3260" s="52"/>
      <c r="AE3260"/>
    </row>
    <row r="3261" spans="29:31" x14ac:dyDescent="0.25">
      <c r="AC3261" s="52"/>
      <c r="AE3261"/>
    </row>
    <row r="3262" spans="29:31" x14ac:dyDescent="0.25">
      <c r="AC3262" s="52"/>
      <c r="AE3262"/>
    </row>
    <row r="3263" spans="29:31" x14ac:dyDescent="0.25">
      <c r="AC3263" s="52"/>
      <c r="AE3263"/>
    </row>
    <row r="3264" spans="29:31" x14ac:dyDescent="0.25">
      <c r="AC3264" s="52"/>
      <c r="AE3264"/>
    </row>
    <row r="3265" spans="29:31" x14ac:dyDescent="0.25">
      <c r="AC3265" s="52"/>
      <c r="AE3265"/>
    </row>
    <row r="3266" spans="29:31" x14ac:dyDescent="0.25">
      <c r="AC3266" s="52"/>
      <c r="AE3266"/>
    </row>
    <row r="3267" spans="29:31" x14ac:dyDescent="0.25">
      <c r="AC3267" s="52"/>
      <c r="AE3267"/>
    </row>
    <row r="3268" spans="29:31" x14ac:dyDescent="0.25">
      <c r="AC3268" s="52"/>
      <c r="AE3268"/>
    </row>
    <row r="3269" spans="29:31" x14ac:dyDescent="0.25">
      <c r="AC3269" s="52"/>
      <c r="AE3269"/>
    </row>
    <row r="3270" spans="29:31" x14ac:dyDescent="0.25">
      <c r="AC3270" s="52"/>
      <c r="AE3270"/>
    </row>
    <row r="3271" spans="29:31" x14ac:dyDescent="0.25">
      <c r="AC3271" s="52"/>
      <c r="AE3271"/>
    </row>
    <row r="3272" spans="29:31" x14ac:dyDescent="0.25">
      <c r="AC3272" s="52"/>
      <c r="AE3272"/>
    </row>
    <row r="3273" spans="29:31" x14ac:dyDescent="0.25">
      <c r="AC3273" s="52"/>
      <c r="AE3273"/>
    </row>
    <row r="3274" spans="29:31" x14ac:dyDescent="0.25">
      <c r="AC3274" s="52"/>
      <c r="AE3274"/>
    </row>
    <row r="3275" spans="29:31" x14ac:dyDescent="0.25">
      <c r="AC3275" s="52"/>
      <c r="AE3275"/>
    </row>
    <row r="3276" spans="29:31" x14ac:dyDescent="0.25">
      <c r="AC3276" s="52"/>
      <c r="AE3276"/>
    </row>
    <row r="3277" spans="29:31" x14ac:dyDescent="0.25">
      <c r="AC3277" s="52"/>
      <c r="AE3277"/>
    </row>
    <row r="3278" spans="29:31" x14ac:dyDescent="0.25">
      <c r="AC3278" s="52"/>
      <c r="AE3278"/>
    </row>
    <row r="3279" spans="29:31" x14ac:dyDescent="0.25">
      <c r="AC3279" s="52"/>
      <c r="AE3279"/>
    </row>
    <row r="3280" spans="29:31" x14ac:dyDescent="0.25">
      <c r="AC3280" s="52"/>
      <c r="AE3280"/>
    </row>
    <row r="3281" spans="29:31" x14ac:dyDescent="0.25">
      <c r="AC3281" s="52"/>
      <c r="AE3281"/>
    </row>
    <row r="3282" spans="29:31" x14ac:dyDescent="0.25">
      <c r="AC3282" s="52"/>
      <c r="AE3282"/>
    </row>
    <row r="3283" spans="29:31" x14ac:dyDescent="0.25">
      <c r="AC3283" s="52"/>
      <c r="AE3283"/>
    </row>
    <row r="3284" spans="29:31" x14ac:dyDescent="0.25">
      <c r="AC3284" s="52"/>
      <c r="AE3284"/>
    </row>
    <row r="3285" spans="29:31" x14ac:dyDescent="0.25">
      <c r="AC3285" s="52"/>
      <c r="AE3285"/>
    </row>
    <row r="3286" spans="29:31" x14ac:dyDescent="0.25">
      <c r="AC3286" s="52"/>
      <c r="AE3286"/>
    </row>
    <row r="3287" spans="29:31" x14ac:dyDescent="0.25">
      <c r="AC3287" s="52"/>
      <c r="AE3287"/>
    </row>
    <row r="3288" spans="29:31" x14ac:dyDescent="0.25">
      <c r="AC3288" s="52"/>
      <c r="AE3288"/>
    </row>
    <row r="3289" spans="29:31" x14ac:dyDescent="0.25">
      <c r="AC3289" s="52"/>
      <c r="AE3289"/>
    </row>
    <row r="3290" spans="29:31" x14ac:dyDescent="0.25">
      <c r="AC3290" s="52"/>
      <c r="AE3290"/>
    </row>
    <row r="3291" spans="29:31" x14ac:dyDescent="0.25">
      <c r="AC3291" s="52"/>
      <c r="AE3291"/>
    </row>
    <row r="3292" spans="29:31" x14ac:dyDescent="0.25">
      <c r="AC3292" s="52"/>
      <c r="AE3292"/>
    </row>
    <row r="3293" spans="29:31" x14ac:dyDescent="0.25">
      <c r="AC3293" s="52"/>
      <c r="AE3293"/>
    </row>
    <row r="3294" spans="29:31" x14ac:dyDescent="0.25">
      <c r="AC3294" s="52"/>
      <c r="AE3294"/>
    </row>
    <row r="3295" spans="29:31" x14ac:dyDescent="0.25">
      <c r="AC3295" s="52"/>
      <c r="AE3295"/>
    </row>
    <row r="3296" spans="29:31" x14ac:dyDescent="0.25">
      <c r="AC3296" s="52"/>
      <c r="AE3296"/>
    </row>
    <row r="3297" spans="29:31" x14ac:dyDescent="0.25">
      <c r="AC3297" s="52"/>
      <c r="AE3297"/>
    </row>
    <row r="3298" spans="29:31" x14ac:dyDescent="0.25">
      <c r="AC3298" s="52"/>
      <c r="AE3298"/>
    </row>
    <row r="3299" spans="29:31" x14ac:dyDescent="0.25">
      <c r="AC3299" s="52"/>
      <c r="AE3299"/>
    </row>
    <row r="3300" spans="29:31" x14ac:dyDescent="0.25">
      <c r="AC3300" s="52"/>
      <c r="AE3300"/>
    </row>
    <row r="3301" spans="29:31" x14ac:dyDescent="0.25">
      <c r="AC3301" s="52"/>
      <c r="AE3301"/>
    </row>
    <row r="3302" spans="29:31" x14ac:dyDescent="0.25">
      <c r="AC3302" s="52"/>
      <c r="AE3302"/>
    </row>
    <row r="3303" spans="29:31" x14ac:dyDescent="0.25">
      <c r="AC3303" s="52"/>
      <c r="AE3303"/>
    </row>
    <row r="3304" spans="29:31" x14ac:dyDescent="0.25">
      <c r="AC3304" s="52"/>
      <c r="AE3304"/>
    </row>
    <row r="3305" spans="29:31" x14ac:dyDescent="0.25">
      <c r="AC3305" s="52"/>
      <c r="AE3305"/>
    </row>
    <row r="3306" spans="29:31" x14ac:dyDescent="0.25">
      <c r="AC3306" s="52"/>
      <c r="AE3306"/>
    </row>
    <row r="3307" spans="29:31" x14ac:dyDescent="0.25">
      <c r="AC3307" s="52"/>
      <c r="AE3307"/>
    </row>
    <row r="3308" spans="29:31" x14ac:dyDescent="0.25">
      <c r="AC3308" s="52"/>
      <c r="AE3308"/>
    </row>
    <row r="3309" spans="29:31" x14ac:dyDescent="0.25">
      <c r="AC3309" s="52"/>
      <c r="AE3309"/>
    </row>
    <row r="3310" spans="29:31" x14ac:dyDescent="0.25">
      <c r="AC3310" s="52"/>
      <c r="AE3310"/>
    </row>
    <row r="3311" spans="29:31" x14ac:dyDescent="0.25">
      <c r="AC3311" s="52"/>
      <c r="AE3311"/>
    </row>
    <row r="3312" spans="29:31" x14ac:dyDescent="0.25">
      <c r="AC3312" s="52"/>
      <c r="AE3312"/>
    </row>
    <row r="3313" spans="29:31" x14ac:dyDescent="0.25">
      <c r="AC3313" s="52"/>
      <c r="AE3313"/>
    </row>
    <row r="3314" spans="29:31" x14ac:dyDescent="0.25">
      <c r="AC3314" s="52"/>
      <c r="AE3314"/>
    </row>
    <row r="3315" spans="29:31" x14ac:dyDescent="0.25">
      <c r="AC3315" s="52"/>
      <c r="AE3315"/>
    </row>
    <row r="3316" spans="29:31" x14ac:dyDescent="0.25">
      <c r="AC3316" s="52"/>
      <c r="AE3316"/>
    </row>
    <row r="3317" spans="29:31" x14ac:dyDescent="0.25">
      <c r="AC3317" s="52"/>
      <c r="AE3317"/>
    </row>
    <row r="3318" spans="29:31" x14ac:dyDescent="0.25">
      <c r="AC3318" s="52"/>
      <c r="AE3318"/>
    </row>
    <row r="3319" spans="29:31" x14ac:dyDescent="0.25">
      <c r="AC3319" s="52"/>
      <c r="AE3319"/>
    </row>
    <row r="3320" spans="29:31" x14ac:dyDescent="0.25">
      <c r="AC3320" s="52"/>
      <c r="AE3320"/>
    </row>
    <row r="3321" spans="29:31" x14ac:dyDescent="0.25">
      <c r="AC3321" s="52"/>
      <c r="AE3321"/>
    </row>
    <row r="3322" spans="29:31" x14ac:dyDescent="0.25">
      <c r="AC3322" s="52"/>
      <c r="AE3322"/>
    </row>
    <row r="3323" spans="29:31" x14ac:dyDescent="0.25">
      <c r="AC3323" s="52"/>
      <c r="AE3323"/>
    </row>
    <row r="3324" spans="29:31" x14ac:dyDescent="0.25">
      <c r="AC3324" s="52"/>
      <c r="AE3324"/>
    </row>
    <row r="3325" spans="29:31" x14ac:dyDescent="0.25">
      <c r="AC3325" s="52"/>
      <c r="AE3325"/>
    </row>
    <row r="3326" spans="29:31" x14ac:dyDescent="0.25">
      <c r="AC3326" s="52"/>
      <c r="AE3326"/>
    </row>
    <row r="3327" spans="29:31" x14ac:dyDescent="0.25">
      <c r="AC3327" s="52"/>
      <c r="AE3327"/>
    </row>
    <row r="3328" spans="29:31" x14ac:dyDescent="0.25">
      <c r="AC3328" s="52"/>
      <c r="AE3328"/>
    </row>
    <row r="3329" spans="29:31" x14ac:dyDescent="0.25">
      <c r="AC3329" s="52"/>
      <c r="AE3329"/>
    </row>
    <row r="3330" spans="29:31" x14ac:dyDescent="0.25">
      <c r="AC3330" s="52"/>
      <c r="AE3330"/>
    </row>
    <row r="3331" spans="29:31" x14ac:dyDescent="0.25">
      <c r="AC3331" s="52"/>
      <c r="AE3331"/>
    </row>
    <row r="3332" spans="29:31" x14ac:dyDescent="0.25">
      <c r="AC3332" s="52"/>
      <c r="AE3332"/>
    </row>
    <row r="3333" spans="29:31" x14ac:dyDescent="0.25">
      <c r="AC3333" s="52"/>
      <c r="AE3333"/>
    </row>
    <row r="3334" spans="29:31" x14ac:dyDescent="0.25">
      <c r="AC3334" s="52"/>
      <c r="AE3334"/>
    </row>
    <row r="3335" spans="29:31" x14ac:dyDescent="0.25">
      <c r="AC3335" s="52"/>
      <c r="AE3335"/>
    </row>
    <row r="3336" spans="29:31" x14ac:dyDescent="0.25">
      <c r="AC3336" s="52"/>
      <c r="AE3336"/>
    </row>
    <row r="3337" spans="29:31" x14ac:dyDescent="0.25">
      <c r="AC3337" s="52"/>
      <c r="AE3337"/>
    </row>
    <row r="3338" spans="29:31" x14ac:dyDescent="0.25">
      <c r="AC3338" s="52"/>
      <c r="AE3338"/>
    </row>
    <row r="3339" spans="29:31" x14ac:dyDescent="0.25">
      <c r="AC3339" s="52"/>
      <c r="AE3339"/>
    </row>
    <row r="3340" spans="29:31" x14ac:dyDescent="0.25">
      <c r="AC3340" s="52"/>
      <c r="AE3340"/>
    </row>
    <row r="3341" spans="29:31" x14ac:dyDescent="0.25">
      <c r="AC3341" s="52"/>
      <c r="AE3341"/>
    </row>
    <row r="3342" spans="29:31" x14ac:dyDescent="0.25">
      <c r="AC3342" s="52"/>
      <c r="AE3342"/>
    </row>
    <row r="3343" spans="29:31" x14ac:dyDescent="0.25">
      <c r="AC3343" s="52"/>
      <c r="AE3343"/>
    </row>
    <row r="3344" spans="29:31" x14ac:dyDescent="0.25">
      <c r="AC3344" s="52"/>
      <c r="AE3344"/>
    </row>
    <row r="3345" spans="29:31" x14ac:dyDescent="0.25">
      <c r="AC3345" s="52"/>
      <c r="AE3345"/>
    </row>
    <row r="3346" spans="29:31" x14ac:dyDescent="0.25">
      <c r="AC3346" s="52"/>
      <c r="AE3346"/>
    </row>
    <row r="3347" spans="29:31" x14ac:dyDescent="0.25">
      <c r="AC3347" s="52"/>
      <c r="AE3347"/>
    </row>
    <row r="3348" spans="29:31" x14ac:dyDescent="0.25">
      <c r="AC3348" s="52"/>
      <c r="AE3348"/>
    </row>
    <row r="3349" spans="29:31" x14ac:dyDescent="0.25">
      <c r="AC3349" s="52"/>
      <c r="AE3349"/>
    </row>
    <row r="3350" spans="29:31" x14ac:dyDescent="0.25">
      <c r="AC3350" s="52"/>
      <c r="AE3350"/>
    </row>
    <row r="3351" spans="29:31" x14ac:dyDescent="0.25">
      <c r="AC3351" s="52"/>
      <c r="AE3351"/>
    </row>
    <row r="3352" spans="29:31" x14ac:dyDescent="0.25">
      <c r="AC3352" s="52"/>
      <c r="AE3352"/>
    </row>
    <row r="3353" spans="29:31" x14ac:dyDescent="0.25">
      <c r="AC3353" s="52"/>
      <c r="AE3353"/>
    </row>
    <row r="3354" spans="29:31" x14ac:dyDescent="0.25">
      <c r="AC3354" s="52"/>
      <c r="AE3354"/>
    </row>
    <row r="3355" spans="29:31" x14ac:dyDescent="0.25">
      <c r="AC3355" s="52"/>
      <c r="AE3355"/>
    </row>
    <row r="3356" spans="29:31" x14ac:dyDescent="0.25">
      <c r="AC3356" s="52"/>
      <c r="AE3356"/>
    </row>
    <row r="3357" spans="29:31" x14ac:dyDescent="0.25">
      <c r="AC3357" s="52"/>
      <c r="AE3357"/>
    </row>
    <row r="3358" spans="29:31" x14ac:dyDescent="0.25">
      <c r="AC3358" s="52"/>
      <c r="AE3358"/>
    </row>
    <row r="3359" spans="29:31" x14ac:dyDescent="0.25">
      <c r="AC3359" s="52"/>
      <c r="AE3359"/>
    </row>
    <row r="3360" spans="29:31" x14ac:dyDescent="0.25">
      <c r="AC3360" s="52"/>
      <c r="AE3360"/>
    </row>
    <row r="3361" spans="29:31" x14ac:dyDescent="0.25">
      <c r="AC3361" s="52"/>
      <c r="AE3361"/>
    </row>
    <row r="3362" spans="29:31" x14ac:dyDescent="0.25">
      <c r="AC3362" s="52"/>
      <c r="AE3362"/>
    </row>
    <row r="3363" spans="29:31" x14ac:dyDescent="0.25">
      <c r="AC3363" s="52"/>
      <c r="AE3363"/>
    </row>
    <row r="3364" spans="29:31" x14ac:dyDescent="0.25">
      <c r="AC3364" s="52"/>
      <c r="AE3364"/>
    </row>
    <row r="3365" spans="29:31" x14ac:dyDescent="0.25">
      <c r="AC3365" s="52"/>
      <c r="AE3365"/>
    </row>
    <row r="3366" spans="29:31" x14ac:dyDescent="0.25">
      <c r="AC3366" s="52"/>
      <c r="AE3366"/>
    </row>
    <row r="3367" spans="29:31" x14ac:dyDescent="0.25">
      <c r="AC3367" s="52"/>
      <c r="AE3367"/>
    </row>
    <row r="3368" spans="29:31" x14ac:dyDescent="0.25">
      <c r="AC3368" s="52"/>
      <c r="AE3368"/>
    </row>
    <row r="3369" spans="29:31" x14ac:dyDescent="0.25">
      <c r="AC3369" s="52"/>
      <c r="AE3369"/>
    </row>
    <row r="3370" spans="29:31" x14ac:dyDescent="0.25">
      <c r="AC3370" s="52"/>
      <c r="AE3370"/>
    </row>
    <row r="3371" spans="29:31" x14ac:dyDescent="0.25">
      <c r="AC3371" s="52"/>
      <c r="AE3371"/>
    </row>
    <row r="3372" spans="29:31" x14ac:dyDescent="0.25">
      <c r="AC3372" s="52"/>
      <c r="AE3372"/>
    </row>
    <row r="3373" spans="29:31" x14ac:dyDescent="0.25">
      <c r="AC3373" s="52"/>
      <c r="AE3373"/>
    </row>
    <row r="3374" spans="29:31" x14ac:dyDescent="0.25">
      <c r="AC3374" s="52"/>
      <c r="AE3374"/>
    </row>
    <row r="3375" spans="29:31" x14ac:dyDescent="0.25">
      <c r="AC3375" s="52"/>
      <c r="AE3375"/>
    </row>
    <row r="3376" spans="29:31" x14ac:dyDescent="0.25">
      <c r="AC3376" s="52"/>
      <c r="AE3376"/>
    </row>
    <row r="3377" spans="29:31" x14ac:dyDescent="0.25">
      <c r="AC3377" s="52"/>
      <c r="AE3377"/>
    </row>
    <row r="3378" spans="29:31" x14ac:dyDescent="0.25">
      <c r="AC3378" s="52"/>
      <c r="AE3378"/>
    </row>
    <row r="3379" spans="29:31" x14ac:dyDescent="0.25">
      <c r="AC3379" s="52"/>
      <c r="AE3379"/>
    </row>
    <row r="3380" spans="29:31" x14ac:dyDescent="0.25">
      <c r="AC3380" s="52"/>
      <c r="AE3380"/>
    </row>
    <row r="3381" spans="29:31" x14ac:dyDescent="0.25">
      <c r="AC3381" s="52"/>
      <c r="AE3381"/>
    </row>
    <row r="3382" spans="29:31" x14ac:dyDescent="0.25">
      <c r="AC3382" s="52"/>
      <c r="AE3382"/>
    </row>
    <row r="3383" spans="29:31" x14ac:dyDescent="0.25">
      <c r="AC3383" s="52"/>
      <c r="AE3383"/>
    </row>
    <row r="3384" spans="29:31" x14ac:dyDescent="0.25">
      <c r="AC3384" s="52"/>
      <c r="AE3384"/>
    </row>
    <row r="3385" spans="29:31" x14ac:dyDescent="0.25">
      <c r="AC3385" s="52"/>
      <c r="AE3385"/>
    </row>
    <row r="3386" spans="29:31" x14ac:dyDescent="0.25">
      <c r="AC3386" s="52"/>
      <c r="AE3386"/>
    </row>
    <row r="3387" spans="29:31" x14ac:dyDescent="0.25">
      <c r="AC3387" s="52"/>
      <c r="AE3387"/>
    </row>
    <row r="3388" spans="29:31" x14ac:dyDescent="0.25">
      <c r="AC3388" s="52"/>
      <c r="AE3388"/>
    </row>
    <row r="3389" spans="29:31" x14ac:dyDescent="0.25">
      <c r="AC3389" s="52"/>
      <c r="AE3389"/>
    </row>
    <row r="3390" spans="29:31" x14ac:dyDescent="0.25">
      <c r="AC3390" s="52"/>
      <c r="AE3390"/>
    </row>
    <row r="3391" spans="29:31" x14ac:dyDescent="0.25">
      <c r="AC3391" s="52"/>
      <c r="AE3391"/>
    </row>
    <row r="3392" spans="29:31" x14ac:dyDescent="0.25">
      <c r="AC3392" s="52"/>
      <c r="AE3392"/>
    </row>
    <row r="3393" spans="29:31" x14ac:dyDescent="0.25">
      <c r="AC3393" s="52"/>
      <c r="AE3393"/>
    </row>
    <row r="3394" spans="29:31" x14ac:dyDescent="0.25">
      <c r="AC3394" s="52"/>
      <c r="AE3394"/>
    </row>
    <row r="3395" spans="29:31" x14ac:dyDescent="0.25">
      <c r="AC3395" s="52"/>
      <c r="AE3395"/>
    </row>
    <row r="3396" spans="29:31" x14ac:dyDescent="0.25">
      <c r="AC3396" s="52"/>
      <c r="AE3396"/>
    </row>
    <row r="3397" spans="29:31" x14ac:dyDescent="0.25">
      <c r="AC3397" s="52"/>
      <c r="AE3397"/>
    </row>
    <row r="3398" spans="29:31" x14ac:dyDescent="0.25">
      <c r="AC3398" s="52"/>
      <c r="AE3398"/>
    </row>
    <row r="3399" spans="29:31" x14ac:dyDescent="0.25">
      <c r="AC3399" s="52"/>
      <c r="AE3399"/>
    </row>
    <row r="3400" spans="29:31" x14ac:dyDescent="0.25">
      <c r="AC3400" s="52"/>
      <c r="AE3400"/>
    </row>
    <row r="3401" spans="29:31" x14ac:dyDescent="0.25">
      <c r="AC3401" s="52"/>
      <c r="AE3401"/>
    </row>
    <row r="3402" spans="29:31" x14ac:dyDescent="0.25">
      <c r="AC3402" s="52"/>
      <c r="AE3402"/>
    </row>
    <row r="3403" spans="29:31" x14ac:dyDescent="0.25">
      <c r="AC3403" s="52"/>
      <c r="AE3403"/>
    </row>
    <row r="3404" spans="29:31" x14ac:dyDescent="0.25">
      <c r="AC3404" s="52"/>
      <c r="AE3404"/>
    </row>
    <row r="3405" spans="29:31" x14ac:dyDescent="0.25">
      <c r="AC3405" s="52"/>
      <c r="AE3405"/>
    </row>
    <row r="3406" spans="29:31" x14ac:dyDescent="0.25">
      <c r="AC3406" s="52"/>
      <c r="AE3406"/>
    </row>
    <row r="3407" spans="29:31" x14ac:dyDescent="0.25">
      <c r="AC3407" s="52"/>
      <c r="AE3407"/>
    </row>
    <row r="3408" spans="29:31" x14ac:dyDescent="0.25">
      <c r="AC3408" s="52"/>
      <c r="AE3408"/>
    </row>
    <row r="3409" spans="29:31" x14ac:dyDescent="0.25">
      <c r="AC3409" s="52"/>
      <c r="AE3409"/>
    </row>
    <row r="3410" spans="29:31" x14ac:dyDescent="0.25">
      <c r="AC3410" s="52"/>
      <c r="AE3410"/>
    </row>
    <row r="3411" spans="29:31" x14ac:dyDescent="0.25">
      <c r="AC3411" s="52"/>
      <c r="AE3411"/>
    </row>
    <row r="3412" spans="29:31" x14ac:dyDescent="0.25">
      <c r="AC3412" s="52"/>
      <c r="AE3412"/>
    </row>
    <row r="3413" spans="29:31" x14ac:dyDescent="0.25">
      <c r="AC3413" s="52"/>
      <c r="AE3413"/>
    </row>
    <row r="3414" spans="29:31" x14ac:dyDescent="0.25">
      <c r="AC3414" s="52"/>
      <c r="AE3414"/>
    </row>
    <row r="3415" spans="29:31" x14ac:dyDescent="0.25">
      <c r="AC3415" s="52"/>
      <c r="AE3415"/>
    </row>
    <row r="3416" spans="29:31" x14ac:dyDescent="0.25">
      <c r="AC3416" s="52"/>
      <c r="AE3416"/>
    </row>
    <row r="3417" spans="29:31" x14ac:dyDescent="0.25">
      <c r="AC3417" s="52"/>
      <c r="AE3417"/>
    </row>
    <row r="3418" spans="29:31" x14ac:dyDescent="0.25">
      <c r="AC3418" s="52"/>
      <c r="AE3418"/>
    </row>
    <row r="3419" spans="29:31" x14ac:dyDescent="0.25">
      <c r="AC3419" s="52"/>
      <c r="AE3419"/>
    </row>
    <row r="3420" spans="29:31" x14ac:dyDescent="0.25">
      <c r="AC3420" s="52"/>
      <c r="AE3420"/>
    </row>
    <row r="3421" spans="29:31" x14ac:dyDescent="0.25">
      <c r="AC3421" s="52"/>
      <c r="AE3421"/>
    </row>
    <row r="3422" spans="29:31" x14ac:dyDescent="0.25">
      <c r="AC3422" s="52"/>
      <c r="AE3422"/>
    </row>
    <row r="3423" spans="29:31" x14ac:dyDescent="0.25">
      <c r="AC3423" s="52"/>
      <c r="AE3423"/>
    </row>
    <row r="3424" spans="29:31" x14ac:dyDescent="0.25">
      <c r="AC3424" s="52"/>
      <c r="AE3424"/>
    </row>
    <row r="3425" spans="29:31" x14ac:dyDescent="0.25">
      <c r="AC3425" s="52"/>
      <c r="AE3425"/>
    </row>
    <row r="3426" spans="29:31" x14ac:dyDescent="0.25">
      <c r="AC3426" s="52"/>
      <c r="AE3426"/>
    </row>
    <row r="3427" spans="29:31" x14ac:dyDescent="0.25">
      <c r="AC3427" s="52"/>
      <c r="AE3427"/>
    </row>
    <row r="3428" spans="29:31" x14ac:dyDescent="0.25">
      <c r="AC3428" s="52"/>
      <c r="AE3428"/>
    </row>
    <row r="3429" spans="29:31" x14ac:dyDescent="0.25">
      <c r="AC3429" s="52"/>
      <c r="AE3429"/>
    </row>
    <row r="3430" spans="29:31" x14ac:dyDescent="0.25">
      <c r="AC3430" s="52"/>
      <c r="AE3430"/>
    </row>
    <row r="3431" spans="29:31" x14ac:dyDescent="0.25">
      <c r="AC3431" s="52"/>
      <c r="AE3431"/>
    </row>
    <row r="3432" spans="29:31" x14ac:dyDescent="0.25">
      <c r="AC3432" s="52"/>
      <c r="AE3432"/>
    </row>
    <row r="3433" spans="29:31" x14ac:dyDescent="0.25">
      <c r="AC3433" s="52"/>
      <c r="AE3433"/>
    </row>
    <row r="3434" spans="29:31" x14ac:dyDescent="0.25">
      <c r="AC3434" s="52"/>
      <c r="AE3434"/>
    </row>
    <row r="3435" spans="29:31" x14ac:dyDescent="0.25">
      <c r="AC3435" s="52"/>
      <c r="AE3435"/>
    </row>
    <row r="3436" spans="29:31" x14ac:dyDescent="0.25">
      <c r="AC3436" s="52"/>
      <c r="AE3436"/>
    </row>
    <row r="3437" spans="29:31" x14ac:dyDescent="0.25">
      <c r="AC3437" s="52"/>
      <c r="AE3437"/>
    </row>
    <row r="3438" spans="29:31" x14ac:dyDescent="0.25">
      <c r="AC3438" s="52"/>
      <c r="AE3438"/>
    </row>
    <row r="3439" spans="29:31" x14ac:dyDescent="0.25">
      <c r="AC3439" s="52"/>
      <c r="AE3439"/>
    </row>
    <row r="3440" spans="29:31" x14ac:dyDescent="0.25">
      <c r="AC3440" s="52"/>
      <c r="AE3440"/>
    </row>
    <row r="3441" spans="29:31" x14ac:dyDescent="0.25">
      <c r="AC3441" s="52"/>
      <c r="AE3441"/>
    </row>
    <row r="3442" spans="29:31" x14ac:dyDescent="0.25">
      <c r="AC3442" s="52"/>
      <c r="AE3442"/>
    </row>
    <row r="3443" spans="29:31" x14ac:dyDescent="0.25">
      <c r="AC3443" s="52"/>
      <c r="AE3443"/>
    </row>
    <row r="3444" spans="29:31" x14ac:dyDescent="0.25">
      <c r="AC3444" s="52"/>
      <c r="AE3444"/>
    </row>
    <row r="3445" spans="29:31" x14ac:dyDescent="0.25">
      <c r="AC3445" s="52"/>
      <c r="AE3445"/>
    </row>
    <row r="3446" spans="29:31" x14ac:dyDescent="0.25">
      <c r="AC3446" s="52"/>
      <c r="AE3446"/>
    </row>
    <row r="3447" spans="29:31" x14ac:dyDescent="0.25">
      <c r="AC3447" s="52"/>
      <c r="AE3447"/>
    </row>
    <row r="3448" spans="29:31" x14ac:dyDescent="0.25">
      <c r="AC3448" s="52"/>
      <c r="AE3448"/>
    </row>
    <row r="3449" spans="29:31" x14ac:dyDescent="0.25">
      <c r="AC3449" s="52"/>
      <c r="AE3449"/>
    </row>
    <row r="3450" spans="29:31" x14ac:dyDescent="0.25">
      <c r="AC3450" s="52"/>
      <c r="AE3450"/>
    </row>
    <row r="3451" spans="29:31" x14ac:dyDescent="0.25">
      <c r="AC3451" s="52"/>
      <c r="AE3451"/>
    </row>
    <row r="3452" spans="29:31" x14ac:dyDescent="0.25">
      <c r="AC3452" s="52"/>
      <c r="AE3452"/>
    </row>
    <row r="3453" spans="29:31" x14ac:dyDescent="0.25">
      <c r="AC3453" s="52"/>
      <c r="AE3453"/>
    </row>
    <row r="3454" spans="29:31" x14ac:dyDescent="0.25">
      <c r="AC3454" s="52"/>
      <c r="AE3454"/>
    </row>
    <row r="3455" spans="29:31" x14ac:dyDescent="0.25">
      <c r="AC3455" s="52"/>
      <c r="AE3455"/>
    </row>
    <row r="3456" spans="29:31" x14ac:dyDescent="0.25">
      <c r="AC3456" s="52"/>
      <c r="AE3456"/>
    </row>
    <row r="3457" spans="29:31" x14ac:dyDescent="0.25">
      <c r="AC3457" s="52"/>
      <c r="AE3457"/>
    </row>
    <row r="3458" spans="29:31" x14ac:dyDescent="0.25">
      <c r="AC3458" s="52"/>
      <c r="AE3458"/>
    </row>
    <row r="3459" spans="29:31" x14ac:dyDescent="0.25">
      <c r="AC3459" s="52"/>
      <c r="AE3459"/>
    </row>
    <row r="3460" spans="29:31" x14ac:dyDescent="0.25">
      <c r="AC3460" s="52"/>
      <c r="AE3460"/>
    </row>
    <row r="3461" spans="29:31" x14ac:dyDescent="0.25">
      <c r="AC3461" s="52"/>
      <c r="AE3461"/>
    </row>
    <row r="3462" spans="29:31" x14ac:dyDescent="0.25">
      <c r="AC3462" s="52"/>
      <c r="AE3462"/>
    </row>
    <row r="3463" spans="29:31" x14ac:dyDescent="0.25">
      <c r="AC3463" s="52"/>
      <c r="AE3463"/>
    </row>
    <row r="3464" spans="29:31" x14ac:dyDescent="0.25">
      <c r="AC3464" s="52"/>
      <c r="AE3464"/>
    </row>
    <row r="3465" spans="29:31" x14ac:dyDescent="0.25">
      <c r="AC3465" s="52"/>
      <c r="AE3465"/>
    </row>
    <row r="3466" spans="29:31" x14ac:dyDescent="0.25">
      <c r="AC3466" s="52"/>
      <c r="AE3466"/>
    </row>
    <row r="3467" spans="29:31" x14ac:dyDescent="0.25">
      <c r="AC3467" s="52"/>
      <c r="AE3467"/>
    </row>
    <row r="3468" spans="29:31" x14ac:dyDescent="0.25">
      <c r="AC3468" s="52"/>
      <c r="AE3468"/>
    </row>
    <row r="3469" spans="29:31" x14ac:dyDescent="0.25">
      <c r="AC3469" s="52"/>
      <c r="AE3469"/>
    </row>
    <row r="3470" spans="29:31" x14ac:dyDescent="0.25">
      <c r="AC3470" s="52"/>
      <c r="AE3470"/>
    </row>
    <row r="3471" spans="29:31" x14ac:dyDescent="0.25">
      <c r="AC3471" s="52"/>
      <c r="AE3471"/>
    </row>
    <row r="3472" spans="29:31" x14ac:dyDescent="0.25">
      <c r="AC3472" s="52"/>
      <c r="AE3472"/>
    </row>
    <row r="3473" spans="29:31" x14ac:dyDescent="0.25">
      <c r="AC3473" s="52"/>
      <c r="AE3473"/>
    </row>
    <row r="3474" spans="29:31" x14ac:dyDescent="0.25">
      <c r="AC3474" s="52"/>
      <c r="AE3474"/>
    </row>
    <row r="3475" spans="29:31" x14ac:dyDescent="0.25">
      <c r="AC3475" s="52"/>
      <c r="AE3475"/>
    </row>
    <row r="3476" spans="29:31" x14ac:dyDescent="0.25">
      <c r="AC3476" s="52"/>
      <c r="AE3476"/>
    </row>
    <row r="3477" spans="29:31" x14ac:dyDescent="0.25">
      <c r="AC3477" s="52"/>
      <c r="AE3477"/>
    </row>
    <row r="3478" spans="29:31" x14ac:dyDescent="0.25">
      <c r="AC3478" s="52"/>
      <c r="AE3478"/>
    </row>
    <row r="3479" spans="29:31" x14ac:dyDescent="0.25">
      <c r="AC3479" s="52"/>
      <c r="AE3479"/>
    </row>
    <row r="3480" spans="29:31" x14ac:dyDescent="0.25">
      <c r="AC3480" s="52"/>
      <c r="AE3480"/>
    </row>
    <row r="3481" spans="29:31" x14ac:dyDescent="0.25">
      <c r="AC3481" s="52"/>
      <c r="AE3481"/>
    </row>
    <row r="3482" spans="29:31" x14ac:dyDescent="0.25">
      <c r="AC3482" s="52"/>
      <c r="AE3482"/>
    </row>
    <row r="3483" spans="29:31" x14ac:dyDescent="0.25">
      <c r="AC3483" s="52"/>
      <c r="AE3483"/>
    </row>
    <row r="3484" spans="29:31" x14ac:dyDescent="0.25">
      <c r="AC3484" s="52"/>
      <c r="AE3484"/>
    </row>
    <row r="3485" spans="29:31" x14ac:dyDescent="0.25">
      <c r="AC3485" s="52"/>
      <c r="AE3485"/>
    </row>
    <row r="3486" spans="29:31" x14ac:dyDescent="0.25">
      <c r="AC3486" s="52"/>
      <c r="AE3486"/>
    </row>
    <row r="3487" spans="29:31" x14ac:dyDescent="0.25">
      <c r="AC3487" s="52"/>
      <c r="AE3487"/>
    </row>
    <row r="3488" spans="29:31" x14ac:dyDescent="0.25">
      <c r="AC3488" s="52"/>
      <c r="AE3488"/>
    </row>
    <row r="3489" spans="29:31" x14ac:dyDescent="0.25">
      <c r="AC3489" s="52"/>
      <c r="AE3489"/>
    </row>
    <row r="3490" spans="29:31" x14ac:dyDescent="0.25">
      <c r="AC3490" s="52"/>
      <c r="AE3490"/>
    </row>
    <row r="3491" spans="29:31" x14ac:dyDescent="0.25">
      <c r="AC3491" s="52"/>
      <c r="AE3491"/>
    </row>
    <row r="3492" spans="29:31" x14ac:dyDescent="0.25">
      <c r="AC3492" s="52"/>
      <c r="AE3492"/>
    </row>
    <row r="3493" spans="29:31" x14ac:dyDescent="0.25">
      <c r="AC3493" s="52"/>
      <c r="AE3493"/>
    </row>
    <row r="3494" spans="29:31" x14ac:dyDescent="0.25">
      <c r="AC3494" s="52"/>
      <c r="AE3494"/>
    </row>
    <row r="3495" spans="29:31" x14ac:dyDescent="0.25">
      <c r="AC3495" s="52"/>
      <c r="AE3495"/>
    </row>
    <row r="3496" spans="29:31" x14ac:dyDescent="0.25">
      <c r="AC3496" s="52"/>
      <c r="AE3496"/>
    </row>
    <row r="3497" spans="29:31" x14ac:dyDescent="0.25">
      <c r="AC3497" s="52"/>
      <c r="AE3497"/>
    </row>
    <row r="3498" spans="29:31" x14ac:dyDescent="0.25">
      <c r="AC3498" s="52"/>
      <c r="AE3498"/>
    </row>
    <row r="3499" spans="29:31" x14ac:dyDescent="0.25">
      <c r="AC3499" s="52"/>
      <c r="AE3499"/>
    </row>
    <row r="3500" spans="29:31" x14ac:dyDescent="0.25">
      <c r="AC3500" s="52"/>
      <c r="AE3500"/>
    </row>
    <row r="3501" spans="29:31" x14ac:dyDescent="0.25">
      <c r="AC3501" s="52"/>
      <c r="AE3501"/>
    </row>
    <row r="3502" spans="29:31" x14ac:dyDescent="0.25">
      <c r="AC3502" s="52"/>
      <c r="AE3502"/>
    </row>
    <row r="3503" spans="29:31" x14ac:dyDescent="0.25">
      <c r="AC3503" s="52"/>
      <c r="AE3503"/>
    </row>
    <row r="3504" spans="29:31" x14ac:dyDescent="0.25">
      <c r="AC3504" s="52"/>
      <c r="AE3504"/>
    </row>
    <row r="3505" spans="29:31" x14ac:dyDescent="0.25">
      <c r="AC3505" s="52"/>
      <c r="AE3505"/>
    </row>
    <row r="3506" spans="29:31" x14ac:dyDescent="0.25">
      <c r="AC3506" s="52"/>
      <c r="AE3506"/>
    </row>
    <row r="3507" spans="29:31" x14ac:dyDescent="0.25">
      <c r="AC3507" s="52"/>
      <c r="AE3507"/>
    </row>
    <row r="3508" spans="29:31" x14ac:dyDescent="0.25">
      <c r="AC3508" s="52"/>
      <c r="AE3508"/>
    </row>
    <row r="3509" spans="29:31" x14ac:dyDescent="0.25">
      <c r="AC3509" s="52"/>
      <c r="AE3509"/>
    </row>
    <row r="3510" spans="29:31" x14ac:dyDescent="0.25">
      <c r="AC3510" s="52"/>
      <c r="AE3510"/>
    </row>
    <row r="3511" spans="29:31" x14ac:dyDescent="0.25">
      <c r="AC3511" s="52"/>
      <c r="AE3511"/>
    </row>
    <row r="3512" spans="29:31" x14ac:dyDescent="0.25">
      <c r="AC3512" s="52"/>
      <c r="AE3512"/>
    </row>
    <row r="3513" spans="29:31" x14ac:dyDescent="0.25">
      <c r="AC3513" s="52"/>
      <c r="AE3513"/>
    </row>
    <row r="3514" spans="29:31" x14ac:dyDescent="0.25">
      <c r="AC3514" s="52"/>
      <c r="AE3514"/>
    </row>
    <row r="3515" spans="29:31" x14ac:dyDescent="0.25">
      <c r="AC3515" s="52"/>
      <c r="AE3515"/>
    </row>
    <row r="3516" spans="29:31" x14ac:dyDescent="0.25">
      <c r="AC3516" s="52"/>
      <c r="AE3516"/>
    </row>
    <row r="3517" spans="29:31" x14ac:dyDescent="0.25">
      <c r="AC3517" s="52"/>
      <c r="AE3517"/>
    </row>
    <row r="3518" spans="29:31" x14ac:dyDescent="0.25">
      <c r="AC3518" s="52"/>
      <c r="AE3518"/>
    </row>
    <row r="3519" spans="29:31" x14ac:dyDescent="0.25">
      <c r="AC3519" s="52"/>
      <c r="AE3519"/>
    </row>
    <row r="3520" spans="29:31" x14ac:dyDescent="0.25">
      <c r="AC3520" s="52"/>
      <c r="AE3520"/>
    </row>
    <row r="3521" spans="29:31" x14ac:dyDescent="0.25">
      <c r="AC3521" s="52"/>
      <c r="AE3521"/>
    </row>
    <row r="3522" spans="29:31" x14ac:dyDescent="0.25">
      <c r="AC3522" s="52"/>
      <c r="AE3522"/>
    </row>
    <row r="3523" spans="29:31" x14ac:dyDescent="0.25">
      <c r="AC3523" s="52"/>
      <c r="AE3523"/>
    </row>
    <row r="3524" spans="29:31" x14ac:dyDescent="0.25">
      <c r="AC3524" s="52"/>
      <c r="AE3524"/>
    </row>
    <row r="3525" spans="29:31" x14ac:dyDescent="0.25">
      <c r="AC3525" s="52"/>
      <c r="AE3525"/>
    </row>
    <row r="3526" spans="29:31" x14ac:dyDescent="0.25">
      <c r="AC3526" s="52"/>
      <c r="AE3526"/>
    </row>
    <row r="3527" spans="29:31" x14ac:dyDescent="0.25">
      <c r="AC3527" s="52"/>
      <c r="AE3527"/>
    </row>
    <row r="3528" spans="29:31" x14ac:dyDescent="0.25">
      <c r="AC3528" s="52"/>
      <c r="AE3528"/>
    </row>
    <row r="3529" spans="29:31" x14ac:dyDescent="0.25">
      <c r="AC3529" s="52"/>
      <c r="AE3529"/>
    </row>
    <row r="3530" spans="29:31" x14ac:dyDescent="0.25">
      <c r="AC3530" s="52"/>
      <c r="AE3530"/>
    </row>
    <row r="3531" spans="29:31" x14ac:dyDescent="0.25">
      <c r="AC3531" s="52"/>
      <c r="AE3531"/>
    </row>
    <row r="3532" spans="29:31" x14ac:dyDescent="0.25">
      <c r="AC3532" s="52"/>
      <c r="AE3532"/>
    </row>
    <row r="3533" spans="29:31" x14ac:dyDescent="0.25">
      <c r="AC3533" s="52"/>
      <c r="AE3533"/>
    </row>
    <row r="3534" spans="29:31" x14ac:dyDescent="0.25">
      <c r="AC3534" s="52"/>
      <c r="AE3534"/>
    </row>
    <row r="3535" spans="29:31" x14ac:dyDescent="0.25">
      <c r="AC3535" s="52"/>
      <c r="AE3535"/>
    </row>
    <row r="3536" spans="29:31" x14ac:dyDescent="0.25">
      <c r="AC3536" s="52"/>
      <c r="AE3536"/>
    </row>
    <row r="3537" spans="29:31" x14ac:dyDescent="0.25">
      <c r="AC3537" s="52"/>
      <c r="AE3537"/>
    </row>
    <row r="3538" spans="29:31" x14ac:dyDescent="0.25">
      <c r="AC3538" s="52"/>
      <c r="AE3538"/>
    </row>
    <row r="3539" spans="29:31" x14ac:dyDescent="0.25">
      <c r="AC3539" s="52"/>
      <c r="AE3539"/>
    </row>
    <row r="3540" spans="29:31" x14ac:dyDescent="0.25">
      <c r="AC3540" s="52"/>
      <c r="AE3540"/>
    </row>
    <row r="3541" spans="29:31" x14ac:dyDescent="0.25">
      <c r="AC3541" s="52"/>
      <c r="AE3541"/>
    </row>
    <row r="3542" spans="29:31" x14ac:dyDescent="0.25">
      <c r="AC3542" s="52"/>
      <c r="AE3542"/>
    </row>
    <row r="3543" spans="29:31" x14ac:dyDescent="0.25">
      <c r="AC3543" s="52"/>
      <c r="AE3543"/>
    </row>
    <row r="3544" spans="29:31" x14ac:dyDescent="0.25">
      <c r="AC3544" s="52"/>
      <c r="AE3544"/>
    </row>
    <row r="3545" spans="29:31" x14ac:dyDescent="0.25">
      <c r="AC3545" s="52"/>
      <c r="AE3545"/>
    </row>
    <row r="3546" spans="29:31" x14ac:dyDescent="0.25">
      <c r="AC3546" s="52"/>
      <c r="AE3546"/>
    </row>
    <row r="3547" spans="29:31" x14ac:dyDescent="0.25">
      <c r="AC3547" s="52"/>
      <c r="AE3547"/>
    </row>
    <row r="3548" spans="29:31" x14ac:dyDescent="0.25">
      <c r="AC3548" s="52"/>
      <c r="AE3548"/>
    </row>
    <row r="3549" spans="29:31" x14ac:dyDescent="0.25">
      <c r="AC3549" s="52"/>
      <c r="AE3549"/>
    </row>
    <row r="3550" spans="29:31" x14ac:dyDescent="0.25">
      <c r="AC3550" s="52"/>
      <c r="AE3550"/>
    </row>
    <row r="3551" spans="29:31" x14ac:dyDescent="0.25">
      <c r="AC3551" s="52"/>
      <c r="AE3551"/>
    </row>
    <row r="3552" spans="29:31" x14ac:dyDescent="0.25">
      <c r="AC3552" s="52"/>
      <c r="AE3552"/>
    </row>
    <row r="3553" spans="29:31" x14ac:dyDescent="0.25">
      <c r="AC3553" s="52"/>
      <c r="AE3553"/>
    </row>
    <row r="3554" spans="29:31" x14ac:dyDescent="0.25">
      <c r="AC3554" s="52"/>
      <c r="AE3554"/>
    </row>
    <row r="3555" spans="29:31" x14ac:dyDescent="0.25">
      <c r="AC3555" s="52"/>
      <c r="AE3555"/>
    </row>
    <row r="3556" spans="29:31" x14ac:dyDescent="0.25">
      <c r="AC3556" s="52"/>
      <c r="AE3556"/>
    </row>
    <row r="3557" spans="29:31" x14ac:dyDescent="0.25">
      <c r="AC3557" s="52"/>
      <c r="AE3557"/>
    </row>
    <row r="3558" spans="29:31" x14ac:dyDescent="0.25">
      <c r="AC3558" s="52"/>
      <c r="AE3558"/>
    </row>
    <row r="3559" spans="29:31" x14ac:dyDescent="0.25">
      <c r="AC3559" s="52"/>
      <c r="AE3559"/>
    </row>
    <row r="3560" spans="29:31" x14ac:dyDescent="0.25">
      <c r="AC3560" s="52"/>
      <c r="AE3560"/>
    </row>
    <row r="3561" spans="29:31" x14ac:dyDescent="0.25">
      <c r="AC3561" s="52"/>
      <c r="AE3561"/>
    </row>
    <row r="3562" spans="29:31" x14ac:dyDescent="0.25">
      <c r="AC3562" s="52"/>
      <c r="AE3562"/>
    </row>
    <row r="3563" spans="29:31" x14ac:dyDescent="0.25">
      <c r="AC3563" s="52"/>
      <c r="AE3563"/>
    </row>
    <row r="3564" spans="29:31" x14ac:dyDescent="0.25">
      <c r="AC3564" s="52"/>
      <c r="AE3564"/>
    </row>
    <row r="3565" spans="29:31" x14ac:dyDescent="0.25">
      <c r="AC3565" s="52"/>
      <c r="AE3565"/>
    </row>
    <row r="3566" spans="29:31" x14ac:dyDescent="0.25">
      <c r="AC3566" s="52"/>
      <c r="AE3566"/>
    </row>
    <row r="3567" spans="29:31" x14ac:dyDescent="0.25">
      <c r="AC3567" s="52"/>
      <c r="AE3567"/>
    </row>
    <row r="3568" spans="29:31" x14ac:dyDescent="0.25">
      <c r="AC3568" s="52"/>
      <c r="AE3568"/>
    </row>
    <row r="3569" spans="29:31" x14ac:dyDescent="0.25">
      <c r="AC3569" s="52"/>
      <c r="AE3569"/>
    </row>
    <row r="3570" spans="29:31" x14ac:dyDescent="0.25">
      <c r="AC3570" s="52"/>
      <c r="AE3570"/>
    </row>
    <row r="3571" spans="29:31" x14ac:dyDescent="0.25">
      <c r="AC3571" s="52"/>
      <c r="AE3571"/>
    </row>
    <row r="3572" spans="29:31" x14ac:dyDescent="0.25">
      <c r="AC3572" s="52"/>
      <c r="AE3572"/>
    </row>
    <row r="3573" spans="29:31" x14ac:dyDescent="0.25">
      <c r="AC3573" s="52"/>
      <c r="AE3573"/>
    </row>
    <row r="3574" spans="29:31" x14ac:dyDescent="0.25">
      <c r="AC3574" s="52"/>
      <c r="AE3574"/>
    </row>
    <row r="3575" spans="29:31" x14ac:dyDescent="0.25">
      <c r="AC3575" s="52"/>
      <c r="AE3575"/>
    </row>
    <row r="3576" spans="29:31" x14ac:dyDescent="0.25">
      <c r="AC3576" s="52"/>
      <c r="AE3576"/>
    </row>
    <row r="3577" spans="29:31" x14ac:dyDescent="0.25">
      <c r="AC3577" s="52"/>
      <c r="AE3577"/>
    </row>
    <row r="3578" spans="29:31" x14ac:dyDescent="0.25">
      <c r="AC3578" s="52"/>
      <c r="AE3578"/>
    </row>
    <row r="3579" spans="29:31" x14ac:dyDescent="0.25">
      <c r="AC3579" s="52"/>
      <c r="AE3579"/>
    </row>
    <row r="3580" spans="29:31" x14ac:dyDescent="0.25">
      <c r="AC3580" s="52"/>
      <c r="AE3580"/>
    </row>
    <row r="3581" spans="29:31" x14ac:dyDescent="0.25">
      <c r="AC3581" s="52"/>
      <c r="AE3581"/>
    </row>
    <row r="3582" spans="29:31" x14ac:dyDescent="0.25">
      <c r="AC3582" s="52"/>
      <c r="AE3582"/>
    </row>
    <row r="3583" spans="29:31" x14ac:dyDescent="0.25">
      <c r="AC3583" s="52"/>
      <c r="AE3583"/>
    </row>
    <row r="3584" spans="29:31" x14ac:dyDescent="0.25">
      <c r="AC3584" s="52"/>
      <c r="AE3584"/>
    </row>
    <row r="3585" spans="29:31" x14ac:dyDescent="0.25">
      <c r="AC3585" s="52"/>
      <c r="AE3585"/>
    </row>
    <row r="3586" spans="29:31" x14ac:dyDescent="0.25">
      <c r="AC3586" s="52"/>
      <c r="AE3586"/>
    </row>
    <row r="3587" spans="29:31" x14ac:dyDescent="0.25">
      <c r="AC3587" s="52"/>
      <c r="AE3587"/>
    </row>
    <row r="3588" spans="29:31" x14ac:dyDescent="0.25">
      <c r="AC3588" s="52"/>
      <c r="AE3588"/>
    </row>
    <row r="3589" spans="29:31" x14ac:dyDescent="0.25">
      <c r="AC3589" s="52"/>
      <c r="AE3589"/>
    </row>
    <row r="3590" spans="29:31" x14ac:dyDescent="0.25">
      <c r="AC3590" s="52"/>
      <c r="AE3590"/>
    </row>
    <row r="3591" spans="29:31" x14ac:dyDescent="0.25">
      <c r="AC3591" s="52"/>
      <c r="AE3591"/>
    </row>
    <row r="3592" spans="29:31" x14ac:dyDescent="0.25">
      <c r="AC3592" s="52"/>
      <c r="AE3592"/>
    </row>
    <row r="3593" spans="29:31" x14ac:dyDescent="0.25">
      <c r="AC3593" s="52"/>
      <c r="AE3593"/>
    </row>
    <row r="3594" spans="29:31" x14ac:dyDescent="0.25">
      <c r="AC3594" s="52"/>
      <c r="AE3594"/>
    </row>
    <row r="3595" spans="29:31" x14ac:dyDescent="0.25">
      <c r="AC3595" s="52"/>
      <c r="AE3595"/>
    </row>
    <row r="3596" spans="29:31" x14ac:dyDescent="0.25">
      <c r="AC3596" s="52"/>
      <c r="AE3596"/>
    </row>
    <row r="3597" spans="29:31" x14ac:dyDescent="0.25">
      <c r="AC3597" s="52"/>
      <c r="AE3597"/>
    </row>
    <row r="3598" spans="29:31" x14ac:dyDescent="0.25">
      <c r="AC3598" s="52"/>
      <c r="AE3598"/>
    </row>
    <row r="3599" spans="29:31" x14ac:dyDescent="0.25">
      <c r="AC3599" s="52"/>
      <c r="AE3599"/>
    </row>
    <row r="3600" spans="29:31" x14ac:dyDescent="0.25">
      <c r="AC3600" s="52"/>
      <c r="AE3600"/>
    </row>
    <row r="3601" spans="29:31" x14ac:dyDescent="0.25">
      <c r="AC3601" s="52"/>
      <c r="AE3601"/>
    </row>
    <row r="3602" spans="29:31" x14ac:dyDescent="0.25">
      <c r="AC3602" s="52"/>
      <c r="AE3602"/>
    </row>
    <row r="3603" spans="29:31" x14ac:dyDescent="0.25">
      <c r="AC3603" s="52"/>
      <c r="AE3603"/>
    </row>
    <row r="3604" spans="29:31" x14ac:dyDescent="0.25">
      <c r="AC3604" s="52"/>
      <c r="AE3604"/>
    </row>
    <row r="3605" spans="29:31" x14ac:dyDescent="0.25">
      <c r="AC3605" s="52"/>
      <c r="AE3605"/>
    </row>
    <row r="3606" spans="29:31" x14ac:dyDescent="0.25">
      <c r="AC3606" s="52"/>
      <c r="AE3606"/>
    </row>
    <row r="3607" spans="29:31" x14ac:dyDescent="0.25">
      <c r="AC3607" s="52"/>
      <c r="AE3607"/>
    </row>
    <row r="3608" spans="29:31" x14ac:dyDescent="0.25">
      <c r="AC3608" s="52"/>
      <c r="AE3608"/>
    </row>
    <row r="3609" spans="29:31" x14ac:dyDescent="0.25">
      <c r="AC3609" s="52"/>
      <c r="AE3609"/>
    </row>
    <row r="3610" spans="29:31" x14ac:dyDescent="0.25">
      <c r="AC3610" s="52"/>
      <c r="AE3610"/>
    </row>
    <row r="3611" spans="29:31" x14ac:dyDescent="0.25">
      <c r="AC3611" s="52"/>
      <c r="AE3611"/>
    </row>
    <row r="3612" spans="29:31" x14ac:dyDescent="0.25">
      <c r="AC3612" s="52"/>
      <c r="AE3612"/>
    </row>
    <row r="3613" spans="29:31" x14ac:dyDescent="0.25">
      <c r="AC3613" s="52"/>
      <c r="AE3613"/>
    </row>
    <row r="3614" spans="29:31" x14ac:dyDescent="0.25">
      <c r="AC3614" s="52"/>
      <c r="AE3614"/>
    </row>
    <row r="3615" spans="29:31" x14ac:dyDescent="0.25">
      <c r="AC3615" s="52"/>
      <c r="AE3615"/>
    </row>
    <row r="3616" spans="29:31" x14ac:dyDescent="0.25">
      <c r="AC3616" s="52"/>
      <c r="AE3616"/>
    </row>
    <row r="3617" spans="29:31" x14ac:dyDescent="0.25">
      <c r="AC3617" s="52"/>
      <c r="AE3617"/>
    </row>
    <row r="3618" spans="29:31" x14ac:dyDescent="0.25">
      <c r="AC3618" s="52"/>
      <c r="AE3618"/>
    </row>
    <row r="3619" spans="29:31" x14ac:dyDescent="0.25">
      <c r="AC3619" s="52"/>
      <c r="AE3619"/>
    </row>
    <row r="3620" spans="29:31" x14ac:dyDescent="0.25">
      <c r="AC3620" s="52"/>
      <c r="AE3620"/>
    </row>
    <row r="3621" spans="29:31" x14ac:dyDescent="0.25">
      <c r="AC3621" s="52"/>
      <c r="AE3621"/>
    </row>
    <row r="3622" spans="29:31" x14ac:dyDescent="0.25">
      <c r="AC3622" s="52"/>
      <c r="AE3622"/>
    </row>
    <row r="3623" spans="29:31" x14ac:dyDescent="0.25">
      <c r="AC3623" s="52"/>
      <c r="AE3623"/>
    </row>
    <row r="3624" spans="29:31" x14ac:dyDescent="0.25">
      <c r="AC3624" s="52"/>
      <c r="AE3624"/>
    </row>
    <row r="3625" spans="29:31" x14ac:dyDescent="0.25">
      <c r="AC3625" s="52"/>
      <c r="AE3625"/>
    </row>
    <row r="3626" spans="29:31" x14ac:dyDescent="0.25">
      <c r="AC3626" s="52"/>
      <c r="AE3626"/>
    </row>
    <row r="3627" spans="29:31" x14ac:dyDescent="0.25">
      <c r="AC3627" s="52"/>
      <c r="AE3627"/>
    </row>
    <row r="3628" spans="29:31" x14ac:dyDescent="0.25">
      <c r="AC3628" s="52"/>
      <c r="AE3628"/>
    </row>
    <row r="3629" spans="29:31" x14ac:dyDescent="0.25">
      <c r="AC3629" s="52"/>
      <c r="AE3629"/>
    </row>
    <row r="3630" spans="29:31" x14ac:dyDescent="0.25">
      <c r="AC3630" s="52"/>
      <c r="AE3630"/>
    </row>
    <row r="3631" spans="29:31" x14ac:dyDescent="0.25">
      <c r="AC3631" s="52"/>
      <c r="AE3631"/>
    </row>
    <row r="3632" spans="29:31" x14ac:dyDescent="0.25">
      <c r="AC3632" s="52"/>
      <c r="AE3632"/>
    </row>
    <row r="3633" spans="29:31" x14ac:dyDescent="0.25">
      <c r="AC3633" s="52"/>
      <c r="AE3633"/>
    </row>
    <row r="3634" spans="29:31" x14ac:dyDescent="0.25">
      <c r="AC3634" s="52"/>
      <c r="AE3634"/>
    </row>
    <row r="3635" spans="29:31" x14ac:dyDescent="0.25">
      <c r="AC3635" s="52"/>
      <c r="AE3635"/>
    </row>
    <row r="3636" spans="29:31" x14ac:dyDescent="0.25">
      <c r="AC3636" s="52"/>
      <c r="AE3636"/>
    </row>
    <row r="3637" spans="29:31" x14ac:dyDescent="0.25">
      <c r="AC3637" s="52"/>
      <c r="AE3637"/>
    </row>
    <row r="3638" spans="29:31" x14ac:dyDescent="0.25">
      <c r="AC3638" s="52"/>
      <c r="AE3638"/>
    </row>
    <row r="3639" spans="29:31" x14ac:dyDescent="0.25">
      <c r="AC3639" s="52"/>
      <c r="AE3639"/>
    </row>
    <row r="3640" spans="29:31" x14ac:dyDescent="0.25">
      <c r="AC3640" s="52"/>
      <c r="AE3640"/>
    </row>
    <row r="3641" spans="29:31" x14ac:dyDescent="0.25">
      <c r="AC3641" s="52"/>
      <c r="AE3641"/>
    </row>
    <row r="3642" spans="29:31" x14ac:dyDescent="0.25">
      <c r="AC3642" s="52"/>
      <c r="AE3642"/>
    </row>
    <row r="3643" spans="29:31" x14ac:dyDescent="0.25">
      <c r="AC3643" s="52"/>
      <c r="AE3643"/>
    </row>
    <row r="3644" spans="29:31" x14ac:dyDescent="0.25">
      <c r="AC3644" s="52"/>
      <c r="AE3644"/>
    </row>
    <row r="3645" spans="29:31" x14ac:dyDescent="0.25">
      <c r="AC3645" s="52"/>
      <c r="AE3645"/>
    </row>
    <row r="3646" spans="29:31" x14ac:dyDescent="0.25">
      <c r="AC3646" s="52"/>
      <c r="AE3646"/>
    </row>
    <row r="3647" spans="29:31" x14ac:dyDescent="0.25">
      <c r="AC3647" s="52"/>
      <c r="AE3647"/>
    </row>
    <row r="3648" spans="29:31" x14ac:dyDescent="0.25">
      <c r="AC3648" s="52"/>
      <c r="AE3648"/>
    </row>
    <row r="3649" spans="29:31" x14ac:dyDescent="0.25">
      <c r="AC3649" s="52"/>
      <c r="AE3649"/>
    </row>
    <row r="3650" spans="29:31" x14ac:dyDescent="0.25">
      <c r="AC3650" s="52"/>
      <c r="AE3650"/>
    </row>
    <row r="3651" spans="29:31" x14ac:dyDescent="0.25">
      <c r="AC3651" s="52"/>
      <c r="AE3651"/>
    </row>
    <row r="3652" spans="29:31" x14ac:dyDescent="0.25">
      <c r="AC3652" s="52"/>
      <c r="AE3652"/>
    </row>
    <row r="3653" spans="29:31" x14ac:dyDescent="0.25">
      <c r="AC3653" s="52"/>
      <c r="AE3653"/>
    </row>
    <row r="3654" spans="29:31" x14ac:dyDescent="0.25">
      <c r="AC3654" s="52"/>
      <c r="AE3654"/>
    </row>
    <row r="3655" spans="29:31" x14ac:dyDescent="0.25">
      <c r="AC3655" s="52"/>
      <c r="AE3655"/>
    </row>
    <row r="3656" spans="29:31" x14ac:dyDescent="0.25">
      <c r="AC3656" s="52"/>
      <c r="AE3656"/>
    </row>
    <row r="3657" spans="29:31" x14ac:dyDescent="0.25">
      <c r="AC3657" s="52"/>
      <c r="AE3657"/>
    </row>
    <row r="3658" spans="29:31" x14ac:dyDescent="0.25">
      <c r="AC3658" s="52"/>
      <c r="AE3658"/>
    </row>
    <row r="3659" spans="29:31" x14ac:dyDescent="0.25">
      <c r="AC3659" s="52"/>
      <c r="AE3659"/>
    </row>
    <row r="3660" spans="29:31" x14ac:dyDescent="0.25">
      <c r="AC3660" s="52"/>
      <c r="AE3660"/>
    </row>
    <row r="3661" spans="29:31" x14ac:dyDescent="0.25">
      <c r="AC3661" s="52"/>
      <c r="AE3661"/>
    </row>
    <row r="3662" spans="29:31" x14ac:dyDescent="0.25">
      <c r="AC3662" s="52"/>
      <c r="AE3662"/>
    </row>
    <row r="3663" spans="29:31" x14ac:dyDescent="0.25">
      <c r="AC3663" s="52"/>
      <c r="AE3663"/>
    </row>
    <row r="3664" spans="29:31" x14ac:dyDescent="0.25">
      <c r="AC3664" s="52"/>
      <c r="AE3664"/>
    </row>
    <row r="3665" spans="29:31" x14ac:dyDescent="0.25">
      <c r="AC3665" s="52"/>
      <c r="AE3665"/>
    </row>
    <row r="3666" spans="29:31" x14ac:dyDescent="0.25">
      <c r="AC3666" s="52"/>
      <c r="AE3666"/>
    </row>
    <row r="3667" spans="29:31" x14ac:dyDescent="0.25">
      <c r="AC3667" s="52"/>
      <c r="AE3667"/>
    </row>
    <row r="3668" spans="29:31" x14ac:dyDescent="0.25">
      <c r="AC3668" s="52"/>
      <c r="AE3668"/>
    </row>
    <row r="3669" spans="29:31" x14ac:dyDescent="0.25">
      <c r="AC3669" s="52"/>
      <c r="AE3669"/>
    </row>
    <row r="3670" spans="29:31" x14ac:dyDescent="0.25">
      <c r="AC3670" s="52"/>
      <c r="AE3670"/>
    </row>
    <row r="3671" spans="29:31" x14ac:dyDescent="0.25">
      <c r="AC3671" s="52"/>
      <c r="AE3671"/>
    </row>
    <row r="3672" spans="29:31" x14ac:dyDescent="0.25">
      <c r="AC3672" s="52"/>
      <c r="AE3672"/>
    </row>
    <row r="3673" spans="29:31" x14ac:dyDescent="0.25">
      <c r="AC3673" s="52"/>
      <c r="AE3673"/>
    </row>
    <row r="3674" spans="29:31" x14ac:dyDescent="0.25">
      <c r="AC3674" s="52"/>
      <c r="AE3674"/>
    </row>
    <row r="3675" spans="29:31" x14ac:dyDescent="0.25">
      <c r="AC3675" s="52"/>
      <c r="AE3675"/>
    </row>
    <row r="3676" spans="29:31" x14ac:dyDescent="0.25">
      <c r="AC3676" s="52"/>
      <c r="AE3676"/>
    </row>
    <row r="3677" spans="29:31" x14ac:dyDescent="0.25">
      <c r="AC3677" s="52"/>
      <c r="AE3677"/>
    </row>
    <row r="3678" spans="29:31" x14ac:dyDescent="0.25">
      <c r="AC3678" s="52"/>
      <c r="AE3678"/>
    </row>
    <row r="3679" spans="29:31" x14ac:dyDescent="0.25">
      <c r="AC3679" s="52"/>
      <c r="AE3679"/>
    </row>
    <row r="3680" spans="29:31" x14ac:dyDescent="0.25">
      <c r="AC3680" s="52"/>
      <c r="AE3680"/>
    </row>
    <row r="3681" spans="29:31" x14ac:dyDescent="0.25">
      <c r="AC3681" s="52"/>
      <c r="AE3681"/>
    </row>
    <row r="3682" spans="29:31" x14ac:dyDescent="0.25">
      <c r="AC3682" s="52"/>
      <c r="AE3682"/>
    </row>
    <row r="3683" spans="29:31" x14ac:dyDescent="0.25">
      <c r="AC3683" s="52"/>
      <c r="AE3683"/>
    </row>
    <row r="3684" spans="29:31" x14ac:dyDescent="0.25">
      <c r="AC3684" s="52"/>
      <c r="AE3684"/>
    </row>
    <row r="3685" spans="29:31" x14ac:dyDescent="0.25">
      <c r="AC3685" s="52"/>
      <c r="AE3685"/>
    </row>
    <row r="3686" spans="29:31" x14ac:dyDescent="0.25">
      <c r="AC3686" s="52"/>
      <c r="AE3686"/>
    </row>
    <row r="3687" spans="29:31" x14ac:dyDescent="0.25">
      <c r="AC3687" s="52"/>
      <c r="AE3687"/>
    </row>
    <row r="3688" spans="29:31" x14ac:dyDescent="0.25">
      <c r="AC3688" s="52"/>
      <c r="AE3688"/>
    </row>
    <row r="3689" spans="29:31" x14ac:dyDescent="0.25">
      <c r="AC3689" s="52"/>
      <c r="AE3689"/>
    </row>
    <row r="3690" spans="29:31" x14ac:dyDescent="0.25">
      <c r="AC3690" s="52"/>
      <c r="AE3690"/>
    </row>
    <row r="3691" spans="29:31" x14ac:dyDescent="0.25">
      <c r="AC3691" s="52"/>
      <c r="AE3691"/>
    </row>
    <row r="3692" spans="29:31" x14ac:dyDescent="0.25">
      <c r="AC3692" s="52"/>
      <c r="AE3692"/>
    </row>
    <row r="3693" spans="29:31" x14ac:dyDescent="0.25">
      <c r="AC3693" s="52"/>
      <c r="AE3693"/>
    </row>
    <row r="3694" spans="29:31" x14ac:dyDescent="0.25">
      <c r="AC3694" s="52"/>
      <c r="AE3694"/>
    </row>
    <row r="3695" spans="29:31" x14ac:dyDescent="0.25">
      <c r="AC3695" s="52"/>
      <c r="AE3695"/>
    </row>
    <row r="3696" spans="29:31" x14ac:dyDescent="0.25">
      <c r="AC3696" s="52"/>
      <c r="AE3696"/>
    </row>
    <row r="3697" spans="29:31" x14ac:dyDescent="0.25">
      <c r="AC3697" s="52"/>
      <c r="AE3697"/>
    </row>
    <row r="3698" spans="29:31" x14ac:dyDescent="0.25">
      <c r="AC3698" s="52"/>
      <c r="AE3698"/>
    </row>
    <row r="3699" spans="29:31" x14ac:dyDescent="0.25">
      <c r="AC3699" s="52"/>
      <c r="AE3699"/>
    </row>
    <row r="3700" spans="29:31" x14ac:dyDescent="0.25">
      <c r="AC3700" s="52"/>
      <c r="AE3700"/>
    </row>
    <row r="3701" spans="29:31" x14ac:dyDescent="0.25">
      <c r="AC3701" s="52"/>
      <c r="AE3701"/>
    </row>
    <row r="3702" spans="29:31" x14ac:dyDescent="0.25">
      <c r="AC3702" s="52"/>
      <c r="AE3702"/>
    </row>
    <row r="3703" spans="29:31" x14ac:dyDescent="0.25">
      <c r="AC3703" s="52"/>
      <c r="AE3703"/>
    </row>
    <row r="3704" spans="29:31" x14ac:dyDescent="0.25">
      <c r="AC3704" s="52"/>
      <c r="AE3704"/>
    </row>
    <row r="3705" spans="29:31" x14ac:dyDescent="0.25">
      <c r="AC3705" s="52"/>
      <c r="AE3705"/>
    </row>
    <row r="3706" spans="29:31" x14ac:dyDescent="0.25">
      <c r="AC3706" s="52"/>
      <c r="AE3706"/>
    </row>
    <row r="3707" spans="29:31" x14ac:dyDescent="0.25">
      <c r="AC3707" s="52"/>
      <c r="AE3707"/>
    </row>
    <row r="3708" spans="29:31" x14ac:dyDescent="0.25">
      <c r="AC3708" s="52"/>
      <c r="AE3708"/>
    </row>
    <row r="3709" spans="29:31" x14ac:dyDescent="0.25">
      <c r="AC3709" s="52"/>
      <c r="AE3709"/>
    </row>
    <row r="3710" spans="29:31" x14ac:dyDescent="0.25">
      <c r="AC3710" s="52"/>
      <c r="AE3710"/>
    </row>
    <row r="3711" spans="29:31" x14ac:dyDescent="0.25">
      <c r="AC3711" s="52"/>
      <c r="AE3711"/>
    </row>
    <row r="3712" spans="29:31" x14ac:dyDescent="0.25">
      <c r="AC3712" s="52"/>
      <c r="AE3712"/>
    </row>
    <row r="3713" spans="29:31" x14ac:dyDescent="0.25">
      <c r="AC3713" s="52"/>
      <c r="AE3713"/>
    </row>
    <row r="3714" spans="29:31" x14ac:dyDescent="0.25">
      <c r="AC3714" s="52"/>
      <c r="AE3714"/>
    </row>
    <row r="3715" spans="29:31" x14ac:dyDescent="0.25">
      <c r="AC3715" s="52"/>
      <c r="AE3715"/>
    </row>
    <row r="3716" spans="29:31" x14ac:dyDescent="0.25">
      <c r="AC3716" s="52"/>
      <c r="AE3716"/>
    </row>
    <row r="3717" spans="29:31" x14ac:dyDescent="0.25">
      <c r="AC3717" s="52"/>
      <c r="AE3717"/>
    </row>
    <row r="3718" spans="29:31" x14ac:dyDescent="0.25">
      <c r="AC3718" s="52"/>
      <c r="AE3718"/>
    </row>
    <row r="3719" spans="29:31" x14ac:dyDescent="0.25">
      <c r="AC3719" s="52"/>
      <c r="AE3719"/>
    </row>
    <row r="3720" spans="29:31" x14ac:dyDescent="0.25">
      <c r="AC3720" s="52"/>
      <c r="AE3720"/>
    </row>
    <row r="3721" spans="29:31" x14ac:dyDescent="0.25">
      <c r="AC3721" s="52"/>
      <c r="AE3721"/>
    </row>
    <row r="3722" spans="29:31" x14ac:dyDescent="0.25">
      <c r="AC3722" s="52"/>
      <c r="AE3722"/>
    </row>
    <row r="3723" spans="29:31" x14ac:dyDescent="0.25">
      <c r="AC3723" s="52"/>
      <c r="AE3723"/>
    </row>
    <row r="3724" spans="29:31" x14ac:dyDescent="0.25">
      <c r="AC3724" s="52"/>
      <c r="AE3724"/>
    </row>
    <row r="3725" spans="29:31" x14ac:dyDescent="0.25">
      <c r="AC3725" s="52"/>
      <c r="AE3725"/>
    </row>
    <row r="3726" spans="29:31" x14ac:dyDescent="0.25">
      <c r="AC3726" s="52"/>
      <c r="AE3726"/>
    </row>
    <row r="3727" spans="29:31" x14ac:dyDescent="0.25">
      <c r="AC3727" s="52"/>
      <c r="AE3727"/>
    </row>
    <row r="3728" spans="29:31" x14ac:dyDescent="0.25">
      <c r="AC3728" s="52"/>
      <c r="AE3728"/>
    </row>
    <row r="3729" spans="29:31" x14ac:dyDescent="0.25">
      <c r="AC3729" s="52"/>
      <c r="AE3729"/>
    </row>
    <row r="3730" spans="29:31" x14ac:dyDescent="0.25">
      <c r="AC3730" s="52"/>
      <c r="AE3730"/>
    </row>
    <row r="3731" spans="29:31" x14ac:dyDescent="0.25">
      <c r="AC3731" s="52"/>
      <c r="AE3731"/>
    </row>
    <row r="3732" spans="29:31" x14ac:dyDescent="0.25">
      <c r="AC3732" s="52"/>
      <c r="AE3732"/>
    </row>
    <row r="3733" spans="29:31" x14ac:dyDescent="0.25">
      <c r="AC3733" s="52"/>
      <c r="AE3733"/>
    </row>
    <row r="3734" spans="29:31" x14ac:dyDescent="0.25">
      <c r="AC3734" s="52"/>
      <c r="AE3734"/>
    </row>
    <row r="3735" spans="29:31" x14ac:dyDescent="0.25">
      <c r="AC3735" s="52"/>
      <c r="AE3735"/>
    </row>
    <row r="3736" spans="29:31" x14ac:dyDescent="0.25">
      <c r="AC3736" s="52"/>
      <c r="AE3736"/>
    </row>
    <row r="3737" spans="29:31" x14ac:dyDescent="0.25">
      <c r="AC3737" s="52"/>
      <c r="AE3737"/>
    </row>
    <row r="3738" spans="29:31" x14ac:dyDescent="0.25">
      <c r="AC3738" s="52"/>
      <c r="AE3738"/>
    </row>
    <row r="3739" spans="29:31" x14ac:dyDescent="0.25">
      <c r="AC3739" s="52"/>
      <c r="AE3739"/>
    </row>
    <row r="3740" spans="29:31" x14ac:dyDescent="0.25">
      <c r="AC3740" s="52"/>
      <c r="AE3740"/>
    </row>
    <row r="3741" spans="29:31" x14ac:dyDescent="0.25">
      <c r="AC3741" s="52"/>
      <c r="AE3741"/>
    </row>
    <row r="3742" spans="29:31" x14ac:dyDescent="0.25">
      <c r="AC3742" s="52"/>
      <c r="AE3742"/>
    </row>
    <row r="3743" spans="29:31" x14ac:dyDescent="0.25">
      <c r="AC3743" s="52"/>
      <c r="AE3743"/>
    </row>
    <row r="3744" spans="29:31" x14ac:dyDescent="0.25">
      <c r="AC3744" s="52"/>
      <c r="AE3744"/>
    </row>
    <row r="3745" spans="29:31" x14ac:dyDescent="0.25">
      <c r="AC3745" s="52"/>
      <c r="AE3745"/>
    </row>
    <row r="3746" spans="29:31" x14ac:dyDescent="0.25">
      <c r="AC3746" s="52"/>
      <c r="AE3746"/>
    </row>
    <row r="3747" spans="29:31" x14ac:dyDescent="0.25">
      <c r="AC3747" s="52"/>
      <c r="AE3747"/>
    </row>
    <row r="3748" spans="29:31" x14ac:dyDescent="0.25">
      <c r="AC3748" s="52"/>
      <c r="AE3748"/>
    </row>
    <row r="3749" spans="29:31" x14ac:dyDescent="0.25">
      <c r="AC3749" s="52"/>
      <c r="AE3749"/>
    </row>
    <row r="3750" spans="29:31" x14ac:dyDescent="0.25">
      <c r="AC3750" s="52"/>
      <c r="AE3750"/>
    </row>
    <row r="3751" spans="29:31" x14ac:dyDescent="0.25">
      <c r="AC3751" s="52"/>
      <c r="AE3751"/>
    </row>
    <row r="3752" spans="29:31" x14ac:dyDescent="0.25">
      <c r="AC3752" s="52"/>
      <c r="AE3752"/>
    </row>
    <row r="3753" spans="29:31" x14ac:dyDescent="0.25">
      <c r="AC3753" s="52"/>
      <c r="AE3753"/>
    </row>
    <row r="3754" spans="29:31" x14ac:dyDescent="0.25">
      <c r="AC3754" s="52"/>
      <c r="AE3754"/>
    </row>
    <row r="3755" spans="29:31" x14ac:dyDescent="0.25">
      <c r="AC3755" s="52"/>
      <c r="AE3755"/>
    </row>
    <row r="3756" spans="29:31" x14ac:dyDescent="0.25">
      <c r="AC3756" s="52"/>
      <c r="AE3756"/>
    </row>
    <row r="3757" spans="29:31" x14ac:dyDescent="0.25">
      <c r="AC3757" s="52"/>
      <c r="AE3757"/>
    </row>
    <row r="3758" spans="29:31" x14ac:dyDescent="0.25">
      <c r="AC3758" s="52"/>
      <c r="AE3758"/>
    </row>
    <row r="3759" spans="29:31" x14ac:dyDescent="0.25">
      <c r="AC3759" s="52"/>
      <c r="AE3759"/>
    </row>
    <row r="3760" spans="29:31" x14ac:dyDescent="0.25">
      <c r="AC3760" s="52"/>
      <c r="AE3760"/>
    </row>
    <row r="3761" spans="29:31" x14ac:dyDescent="0.25">
      <c r="AC3761" s="52"/>
      <c r="AE3761"/>
    </row>
    <row r="3762" spans="29:31" x14ac:dyDescent="0.25">
      <c r="AC3762" s="52"/>
      <c r="AE3762"/>
    </row>
    <row r="3763" spans="29:31" x14ac:dyDescent="0.25">
      <c r="AC3763" s="52"/>
      <c r="AE3763"/>
    </row>
    <row r="3764" spans="29:31" x14ac:dyDescent="0.25">
      <c r="AC3764" s="52"/>
      <c r="AE3764"/>
    </row>
    <row r="3765" spans="29:31" x14ac:dyDescent="0.25">
      <c r="AC3765" s="52"/>
      <c r="AE3765"/>
    </row>
    <row r="3766" spans="29:31" x14ac:dyDescent="0.25">
      <c r="AC3766" s="52"/>
      <c r="AE3766"/>
    </row>
    <row r="3767" spans="29:31" x14ac:dyDescent="0.25">
      <c r="AC3767" s="52"/>
      <c r="AE3767"/>
    </row>
    <row r="3768" spans="29:31" x14ac:dyDescent="0.25">
      <c r="AC3768" s="52"/>
      <c r="AE3768"/>
    </row>
    <row r="3769" spans="29:31" x14ac:dyDescent="0.25">
      <c r="AC3769" s="52"/>
      <c r="AE3769"/>
    </row>
    <row r="3770" spans="29:31" x14ac:dyDescent="0.25">
      <c r="AC3770" s="52"/>
      <c r="AE3770"/>
    </row>
    <row r="3771" spans="29:31" x14ac:dyDescent="0.25">
      <c r="AC3771" s="52"/>
      <c r="AE3771"/>
    </row>
    <row r="3772" spans="29:31" x14ac:dyDescent="0.25">
      <c r="AC3772" s="52"/>
      <c r="AE3772"/>
    </row>
    <row r="3773" spans="29:31" x14ac:dyDescent="0.25">
      <c r="AC3773" s="52"/>
      <c r="AE3773"/>
    </row>
    <row r="3774" spans="29:31" x14ac:dyDescent="0.25">
      <c r="AC3774" s="52"/>
      <c r="AE3774"/>
    </row>
    <row r="3775" spans="29:31" x14ac:dyDescent="0.25">
      <c r="AC3775" s="52"/>
      <c r="AE3775"/>
    </row>
    <row r="3776" spans="29:31" x14ac:dyDescent="0.25">
      <c r="AC3776" s="52"/>
      <c r="AE3776"/>
    </row>
    <row r="3777" spans="29:31" x14ac:dyDescent="0.25">
      <c r="AC3777" s="52"/>
      <c r="AE3777"/>
    </row>
    <row r="3778" spans="29:31" x14ac:dyDescent="0.25">
      <c r="AC3778" s="52"/>
      <c r="AE3778"/>
    </row>
    <row r="3779" spans="29:31" x14ac:dyDescent="0.25">
      <c r="AC3779" s="52"/>
      <c r="AE3779"/>
    </row>
    <row r="3780" spans="29:31" x14ac:dyDescent="0.25">
      <c r="AC3780" s="52"/>
      <c r="AE3780"/>
    </row>
    <row r="3781" spans="29:31" x14ac:dyDescent="0.25">
      <c r="AC3781" s="52"/>
      <c r="AE3781"/>
    </row>
    <row r="3782" spans="29:31" x14ac:dyDescent="0.25">
      <c r="AC3782" s="52"/>
      <c r="AE3782"/>
    </row>
    <row r="3783" spans="29:31" x14ac:dyDescent="0.25">
      <c r="AC3783" s="52"/>
      <c r="AE3783"/>
    </row>
    <row r="3784" spans="29:31" x14ac:dyDescent="0.25">
      <c r="AC3784" s="52"/>
      <c r="AE3784"/>
    </row>
    <row r="3785" spans="29:31" x14ac:dyDescent="0.25">
      <c r="AC3785" s="52"/>
      <c r="AE3785"/>
    </row>
    <row r="3786" spans="29:31" x14ac:dyDescent="0.25">
      <c r="AC3786" s="52"/>
      <c r="AE3786"/>
    </row>
    <row r="3787" spans="29:31" x14ac:dyDescent="0.25">
      <c r="AC3787" s="52"/>
      <c r="AE3787"/>
    </row>
    <row r="3788" spans="29:31" x14ac:dyDescent="0.25">
      <c r="AC3788" s="52"/>
      <c r="AE3788"/>
    </row>
    <row r="3789" spans="29:31" x14ac:dyDescent="0.25">
      <c r="AC3789" s="52"/>
      <c r="AE3789"/>
    </row>
    <row r="3790" spans="29:31" x14ac:dyDescent="0.25">
      <c r="AC3790" s="52"/>
      <c r="AE3790"/>
    </row>
    <row r="3791" spans="29:31" x14ac:dyDescent="0.25">
      <c r="AC3791" s="52"/>
      <c r="AE3791"/>
    </row>
    <row r="3792" spans="29:31" x14ac:dyDescent="0.25">
      <c r="AC3792" s="52"/>
      <c r="AE3792"/>
    </row>
    <row r="3793" spans="29:31" x14ac:dyDescent="0.25">
      <c r="AC3793" s="52"/>
      <c r="AE3793"/>
    </row>
    <row r="3794" spans="29:31" x14ac:dyDescent="0.25">
      <c r="AC3794" s="52"/>
      <c r="AE3794"/>
    </row>
    <row r="3795" spans="29:31" x14ac:dyDescent="0.25">
      <c r="AC3795" s="52"/>
      <c r="AE3795"/>
    </row>
    <row r="3796" spans="29:31" x14ac:dyDescent="0.25">
      <c r="AC3796" s="52"/>
      <c r="AE3796"/>
    </row>
    <row r="3797" spans="29:31" x14ac:dyDescent="0.25">
      <c r="AC3797" s="52"/>
      <c r="AE3797"/>
    </row>
    <row r="3798" spans="29:31" x14ac:dyDescent="0.25">
      <c r="AC3798" s="52"/>
      <c r="AE3798"/>
    </row>
    <row r="3799" spans="29:31" x14ac:dyDescent="0.25">
      <c r="AC3799" s="52"/>
      <c r="AE3799"/>
    </row>
    <row r="3800" spans="29:31" x14ac:dyDescent="0.25">
      <c r="AC3800" s="52"/>
      <c r="AE3800"/>
    </row>
    <row r="3801" spans="29:31" x14ac:dyDescent="0.25">
      <c r="AC3801" s="52"/>
      <c r="AE3801"/>
    </row>
    <row r="3802" spans="29:31" x14ac:dyDescent="0.25">
      <c r="AC3802" s="52"/>
      <c r="AE3802"/>
    </row>
    <row r="3803" spans="29:31" x14ac:dyDescent="0.25">
      <c r="AC3803" s="52"/>
      <c r="AE3803"/>
    </row>
    <row r="3804" spans="29:31" x14ac:dyDescent="0.25">
      <c r="AC3804" s="52"/>
      <c r="AE3804"/>
    </row>
    <row r="3805" spans="29:31" x14ac:dyDescent="0.25">
      <c r="AC3805" s="52"/>
      <c r="AE3805"/>
    </row>
    <row r="3806" spans="29:31" x14ac:dyDescent="0.25">
      <c r="AC3806" s="52"/>
      <c r="AE3806"/>
    </row>
    <row r="3807" spans="29:31" x14ac:dyDescent="0.25">
      <c r="AC3807" s="52"/>
      <c r="AE3807"/>
    </row>
    <row r="3808" spans="29:31" x14ac:dyDescent="0.25">
      <c r="AC3808" s="52"/>
      <c r="AE3808"/>
    </row>
    <row r="3809" spans="29:31" x14ac:dyDescent="0.25">
      <c r="AC3809" s="52"/>
      <c r="AE3809"/>
    </row>
    <row r="3810" spans="29:31" x14ac:dyDescent="0.25">
      <c r="AC3810" s="52"/>
      <c r="AE3810"/>
    </row>
    <row r="3811" spans="29:31" x14ac:dyDescent="0.25">
      <c r="AC3811" s="52"/>
      <c r="AE3811"/>
    </row>
    <row r="3812" spans="29:31" x14ac:dyDescent="0.25">
      <c r="AC3812" s="52"/>
      <c r="AE3812"/>
    </row>
    <row r="3813" spans="29:31" x14ac:dyDescent="0.25">
      <c r="AC3813" s="52"/>
      <c r="AE3813"/>
    </row>
    <row r="3814" spans="29:31" x14ac:dyDescent="0.25">
      <c r="AC3814" s="52"/>
      <c r="AE3814"/>
    </row>
    <row r="3815" spans="29:31" x14ac:dyDescent="0.25">
      <c r="AC3815" s="52"/>
      <c r="AE3815"/>
    </row>
    <row r="3816" spans="29:31" x14ac:dyDescent="0.25">
      <c r="AC3816" s="52"/>
      <c r="AE3816"/>
    </row>
    <row r="3817" spans="29:31" x14ac:dyDescent="0.25">
      <c r="AC3817" s="52"/>
      <c r="AE3817"/>
    </row>
    <row r="3818" spans="29:31" x14ac:dyDescent="0.25">
      <c r="AC3818" s="52"/>
      <c r="AE3818"/>
    </row>
    <row r="3819" spans="29:31" x14ac:dyDescent="0.25">
      <c r="AC3819" s="52"/>
      <c r="AE3819"/>
    </row>
    <row r="3820" spans="29:31" x14ac:dyDescent="0.25">
      <c r="AC3820" s="52"/>
      <c r="AE3820"/>
    </row>
    <row r="3821" spans="29:31" x14ac:dyDescent="0.25">
      <c r="AC3821" s="52"/>
      <c r="AE3821"/>
    </row>
    <row r="3822" spans="29:31" x14ac:dyDescent="0.25">
      <c r="AC3822" s="52"/>
      <c r="AE3822"/>
    </row>
    <row r="3823" spans="29:31" x14ac:dyDescent="0.25">
      <c r="AC3823" s="52"/>
      <c r="AE3823"/>
    </row>
    <row r="3824" spans="29:31" x14ac:dyDescent="0.25">
      <c r="AC3824" s="52"/>
      <c r="AE3824"/>
    </row>
    <row r="3825" spans="29:31" x14ac:dyDescent="0.25">
      <c r="AC3825" s="52"/>
      <c r="AE3825"/>
    </row>
    <row r="3826" spans="29:31" x14ac:dyDescent="0.25">
      <c r="AC3826" s="52"/>
      <c r="AE3826"/>
    </row>
    <row r="3827" spans="29:31" x14ac:dyDescent="0.25">
      <c r="AC3827" s="52"/>
      <c r="AE3827"/>
    </row>
    <row r="3828" spans="29:31" x14ac:dyDescent="0.25">
      <c r="AC3828" s="52"/>
      <c r="AE3828"/>
    </row>
    <row r="3829" spans="29:31" x14ac:dyDescent="0.25">
      <c r="AC3829" s="52"/>
      <c r="AE3829"/>
    </row>
    <row r="3830" spans="29:31" x14ac:dyDescent="0.25">
      <c r="AC3830" s="52"/>
      <c r="AE3830"/>
    </row>
    <row r="3831" spans="29:31" x14ac:dyDescent="0.25">
      <c r="AC3831" s="52"/>
      <c r="AE3831"/>
    </row>
    <row r="3832" spans="29:31" x14ac:dyDescent="0.25">
      <c r="AC3832" s="52"/>
      <c r="AE3832"/>
    </row>
    <row r="3833" spans="29:31" x14ac:dyDescent="0.25">
      <c r="AC3833" s="52"/>
      <c r="AE3833"/>
    </row>
    <row r="3834" spans="29:31" x14ac:dyDescent="0.25">
      <c r="AC3834" s="52"/>
      <c r="AE3834"/>
    </row>
    <row r="3835" spans="29:31" x14ac:dyDescent="0.25">
      <c r="AC3835" s="52"/>
      <c r="AE3835"/>
    </row>
    <row r="3836" spans="29:31" x14ac:dyDescent="0.25">
      <c r="AC3836" s="52"/>
      <c r="AE3836"/>
    </row>
    <row r="3837" spans="29:31" x14ac:dyDescent="0.25">
      <c r="AC3837" s="52"/>
      <c r="AE3837"/>
    </row>
    <row r="3838" spans="29:31" x14ac:dyDescent="0.25">
      <c r="AC3838" s="52"/>
      <c r="AE3838"/>
    </row>
    <row r="3839" spans="29:31" x14ac:dyDescent="0.25">
      <c r="AC3839" s="52"/>
      <c r="AE3839"/>
    </row>
    <row r="3840" spans="29:31" x14ac:dyDescent="0.25">
      <c r="AC3840" s="52"/>
      <c r="AE3840"/>
    </row>
    <row r="3841" spans="29:31" x14ac:dyDescent="0.25">
      <c r="AC3841" s="52"/>
      <c r="AE3841"/>
    </row>
    <row r="3842" spans="29:31" x14ac:dyDescent="0.25">
      <c r="AC3842" s="52"/>
      <c r="AE3842"/>
    </row>
    <row r="3843" spans="29:31" x14ac:dyDescent="0.25">
      <c r="AC3843" s="52"/>
      <c r="AE3843"/>
    </row>
    <row r="3844" spans="29:31" x14ac:dyDescent="0.25">
      <c r="AC3844" s="52"/>
      <c r="AE3844"/>
    </row>
    <row r="3845" spans="29:31" x14ac:dyDescent="0.25">
      <c r="AC3845" s="52"/>
      <c r="AE3845"/>
    </row>
    <row r="3846" spans="29:31" x14ac:dyDescent="0.25">
      <c r="AC3846" s="52"/>
      <c r="AE3846"/>
    </row>
    <row r="3847" spans="29:31" x14ac:dyDescent="0.25">
      <c r="AC3847" s="52"/>
      <c r="AE3847"/>
    </row>
    <row r="3848" spans="29:31" x14ac:dyDescent="0.25">
      <c r="AC3848" s="52"/>
      <c r="AE3848"/>
    </row>
    <row r="3849" spans="29:31" x14ac:dyDescent="0.25">
      <c r="AC3849" s="52"/>
      <c r="AE3849"/>
    </row>
    <row r="3850" spans="29:31" x14ac:dyDescent="0.25">
      <c r="AC3850" s="52"/>
      <c r="AE3850"/>
    </row>
    <row r="3851" spans="29:31" x14ac:dyDescent="0.25">
      <c r="AC3851" s="52"/>
      <c r="AE3851"/>
    </row>
    <row r="3852" spans="29:31" x14ac:dyDescent="0.25">
      <c r="AC3852" s="52"/>
      <c r="AE3852"/>
    </row>
    <row r="3853" spans="29:31" x14ac:dyDescent="0.25">
      <c r="AC3853" s="52"/>
      <c r="AE3853"/>
    </row>
    <row r="3854" spans="29:31" x14ac:dyDescent="0.25">
      <c r="AC3854" s="52"/>
      <c r="AE3854"/>
    </row>
    <row r="3855" spans="29:31" x14ac:dyDescent="0.25">
      <c r="AC3855" s="52"/>
      <c r="AE3855"/>
    </row>
    <row r="3856" spans="29:31" x14ac:dyDescent="0.25">
      <c r="AC3856" s="52"/>
      <c r="AE3856"/>
    </row>
    <row r="3857" spans="29:31" x14ac:dyDescent="0.25">
      <c r="AC3857" s="52"/>
      <c r="AE3857"/>
    </row>
    <row r="3858" spans="29:31" x14ac:dyDescent="0.25">
      <c r="AC3858" s="52"/>
      <c r="AE3858"/>
    </row>
    <row r="3859" spans="29:31" x14ac:dyDescent="0.25">
      <c r="AC3859" s="52"/>
      <c r="AE3859"/>
    </row>
    <row r="3860" spans="29:31" x14ac:dyDescent="0.25">
      <c r="AC3860" s="52"/>
      <c r="AE3860"/>
    </row>
    <row r="3861" spans="29:31" x14ac:dyDescent="0.25">
      <c r="AC3861" s="52"/>
      <c r="AE3861"/>
    </row>
    <row r="3862" spans="29:31" x14ac:dyDescent="0.25">
      <c r="AC3862" s="52"/>
      <c r="AE3862"/>
    </row>
    <row r="3863" spans="29:31" x14ac:dyDescent="0.25">
      <c r="AC3863" s="52"/>
      <c r="AE3863"/>
    </row>
    <row r="3864" spans="29:31" x14ac:dyDescent="0.25">
      <c r="AC3864" s="52"/>
      <c r="AE3864"/>
    </row>
    <row r="3865" spans="29:31" x14ac:dyDescent="0.25">
      <c r="AC3865" s="52"/>
      <c r="AE3865"/>
    </row>
    <row r="3866" spans="29:31" x14ac:dyDescent="0.25">
      <c r="AC3866" s="52"/>
      <c r="AE3866"/>
    </row>
    <row r="3867" spans="29:31" x14ac:dyDescent="0.25">
      <c r="AC3867" s="52"/>
      <c r="AE3867"/>
    </row>
    <row r="3868" spans="29:31" x14ac:dyDescent="0.25">
      <c r="AC3868" s="52"/>
      <c r="AE3868"/>
    </row>
    <row r="3869" spans="29:31" x14ac:dyDescent="0.25">
      <c r="AC3869" s="52"/>
      <c r="AE3869"/>
    </row>
    <row r="3870" spans="29:31" x14ac:dyDescent="0.25">
      <c r="AC3870" s="52"/>
      <c r="AE3870"/>
    </row>
    <row r="3871" spans="29:31" x14ac:dyDescent="0.25">
      <c r="AC3871" s="52"/>
      <c r="AE3871"/>
    </row>
    <row r="3872" spans="29:31" x14ac:dyDescent="0.25">
      <c r="AC3872" s="52"/>
      <c r="AE3872"/>
    </row>
    <row r="3873" spans="29:31" x14ac:dyDescent="0.25">
      <c r="AC3873" s="52"/>
      <c r="AE3873"/>
    </row>
    <row r="3874" spans="29:31" x14ac:dyDescent="0.25">
      <c r="AC3874" s="52"/>
      <c r="AE3874"/>
    </row>
    <row r="3875" spans="29:31" x14ac:dyDescent="0.25">
      <c r="AC3875" s="52"/>
      <c r="AE3875"/>
    </row>
    <row r="3876" spans="29:31" x14ac:dyDescent="0.25">
      <c r="AC3876" s="52"/>
      <c r="AE3876"/>
    </row>
    <row r="3877" spans="29:31" x14ac:dyDescent="0.25">
      <c r="AC3877" s="52"/>
      <c r="AE3877"/>
    </row>
    <row r="3878" spans="29:31" x14ac:dyDescent="0.25">
      <c r="AC3878" s="52"/>
      <c r="AE3878"/>
    </row>
    <row r="3879" spans="29:31" x14ac:dyDescent="0.25">
      <c r="AC3879" s="52"/>
      <c r="AE3879"/>
    </row>
    <row r="3880" spans="29:31" x14ac:dyDescent="0.25">
      <c r="AC3880" s="52"/>
      <c r="AE3880"/>
    </row>
    <row r="3881" spans="29:31" x14ac:dyDescent="0.25">
      <c r="AC3881" s="52"/>
      <c r="AE3881"/>
    </row>
    <row r="3882" spans="29:31" x14ac:dyDescent="0.25">
      <c r="AC3882" s="52"/>
      <c r="AE3882"/>
    </row>
    <row r="3883" spans="29:31" x14ac:dyDescent="0.25">
      <c r="AC3883" s="52"/>
      <c r="AE3883"/>
    </row>
    <row r="3884" spans="29:31" x14ac:dyDescent="0.25">
      <c r="AC3884" s="52"/>
      <c r="AE3884"/>
    </row>
    <row r="3885" spans="29:31" x14ac:dyDescent="0.25">
      <c r="AC3885" s="52"/>
      <c r="AE3885"/>
    </row>
    <row r="3886" spans="29:31" x14ac:dyDescent="0.25">
      <c r="AC3886" s="52"/>
      <c r="AE3886"/>
    </row>
    <row r="3887" spans="29:31" x14ac:dyDescent="0.25">
      <c r="AC3887" s="52"/>
      <c r="AE3887"/>
    </row>
    <row r="3888" spans="29:31" x14ac:dyDescent="0.25">
      <c r="AC3888" s="52"/>
      <c r="AE3888"/>
    </row>
    <row r="3889" spans="29:31" x14ac:dyDescent="0.25">
      <c r="AC3889" s="52"/>
      <c r="AE3889"/>
    </row>
    <row r="3890" spans="29:31" x14ac:dyDescent="0.25">
      <c r="AC3890" s="52"/>
      <c r="AE3890"/>
    </row>
    <row r="3891" spans="29:31" x14ac:dyDescent="0.25">
      <c r="AC3891" s="52"/>
      <c r="AE3891"/>
    </row>
    <row r="3892" spans="29:31" x14ac:dyDescent="0.25">
      <c r="AC3892" s="52"/>
      <c r="AE3892"/>
    </row>
    <row r="3893" spans="29:31" x14ac:dyDescent="0.25">
      <c r="AC3893" s="52"/>
      <c r="AE3893"/>
    </row>
    <row r="3894" spans="29:31" x14ac:dyDescent="0.25">
      <c r="AC3894" s="52"/>
      <c r="AE3894"/>
    </row>
    <row r="3895" spans="29:31" x14ac:dyDescent="0.25">
      <c r="AC3895" s="52"/>
      <c r="AE3895"/>
    </row>
    <row r="3896" spans="29:31" x14ac:dyDescent="0.25">
      <c r="AC3896" s="52"/>
      <c r="AE389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F110"/>
  <sheetViews>
    <sheetView showGridLines="0" tabSelected="1" view="pageBreakPreview" zoomScaleNormal="100" zoomScaleSheetLayoutView="100" workbookViewId="0">
      <pane ySplit="3" topLeftCell="A4" activePane="bottomLeft" state="frozen"/>
      <selection activeCell="D128" sqref="D128"/>
      <selection pane="bottomLeft" activeCell="N21" sqref="N21"/>
    </sheetView>
  </sheetViews>
  <sheetFormatPr defaultRowHeight="15" x14ac:dyDescent="0.25"/>
  <cols>
    <col min="1" max="1" width="1.7109375" customWidth="1"/>
    <col min="2" max="2" width="9.7109375" customWidth="1"/>
    <col min="3" max="3" width="9.5703125" style="2" customWidth="1"/>
    <col min="4" max="4" width="10.7109375" style="2" customWidth="1"/>
    <col min="5" max="6" width="9.7109375" style="2" customWidth="1"/>
    <col min="7" max="7" width="8.42578125" style="2" customWidth="1"/>
    <col min="8" max="8" width="18.140625" style="2" bestFit="1" customWidth="1"/>
    <col min="9" max="9" width="1.7109375" style="2" hidden="1" customWidth="1"/>
    <col min="10" max="10" width="18.140625" style="143" hidden="1" customWidth="1"/>
    <col min="11" max="11" width="1.42578125" style="2" customWidth="1"/>
    <col min="12" max="12" width="18.140625" style="2" customWidth="1"/>
    <col min="14" max="15" width="10" bestFit="1" customWidth="1"/>
  </cols>
  <sheetData>
    <row r="1" spans="1:32" hidden="1" x14ac:dyDescent="0.25">
      <c r="B1" s="227" t="s">
        <v>2440</v>
      </c>
      <c r="H1" s="231"/>
      <c r="J1" s="231"/>
      <c r="L1" s="232"/>
    </row>
    <row r="2" spans="1:32" ht="5.25" hidden="1" customHeight="1" x14ac:dyDescent="0.25">
      <c r="C2"/>
      <c r="D2"/>
      <c r="E2"/>
      <c r="F2"/>
      <c r="G2"/>
      <c r="H2"/>
      <c r="I2"/>
      <c r="J2"/>
      <c r="K2"/>
      <c r="L2"/>
    </row>
    <row r="3" spans="1:32" hidden="1" x14ac:dyDescent="0.25">
      <c r="B3" s="227" t="s">
        <v>2429</v>
      </c>
      <c r="C3" s="228" t="s">
        <v>2430</v>
      </c>
      <c r="H3" s="231">
        <f>H109</f>
        <v>0</v>
      </c>
      <c r="J3" s="231">
        <f>J109</f>
        <v>0</v>
      </c>
      <c r="L3" s="228">
        <f>L109</f>
        <v>0</v>
      </c>
    </row>
    <row r="4" spans="1:32" x14ac:dyDescent="0.25">
      <c r="A4" s="295" t="s">
        <v>1253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</row>
    <row r="5" spans="1:32" x14ac:dyDescent="0.25">
      <c r="A5" s="295" t="s">
        <v>2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</row>
    <row r="6" spans="1:32" ht="9" customHeight="1" x14ac:dyDescent="0.25">
      <c r="A6" s="275"/>
      <c r="B6" s="275"/>
      <c r="C6" s="57"/>
      <c r="D6" s="57"/>
      <c r="E6" s="57"/>
      <c r="F6" s="57"/>
      <c r="G6" s="57"/>
      <c r="H6" s="57"/>
      <c r="I6" s="57"/>
      <c r="K6" s="58"/>
      <c r="L6" s="58"/>
    </row>
    <row r="7" spans="1:32" x14ac:dyDescent="0.25">
      <c r="A7" s="295" t="s">
        <v>1254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</row>
    <row r="8" spans="1:32" ht="15" customHeight="1" x14ac:dyDescent="0.25">
      <c r="A8" s="297" t="s">
        <v>2450</v>
      </c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</row>
    <row r="9" spans="1:32" x14ac:dyDescent="0.25">
      <c r="A9" s="296" t="s">
        <v>2437</v>
      </c>
      <c r="B9" s="296"/>
      <c r="C9" s="296"/>
      <c r="D9" s="296"/>
      <c r="E9" s="296"/>
      <c r="F9" s="296"/>
      <c r="G9" s="296"/>
      <c r="H9" s="296"/>
      <c r="I9" s="296"/>
      <c r="J9" s="296"/>
      <c r="K9" s="296"/>
      <c r="L9" s="296"/>
    </row>
    <row r="10" spans="1:32" ht="6" customHeight="1" x14ac:dyDescent="0.25"/>
    <row r="11" spans="1:32" ht="12.75" customHeight="1" x14ac:dyDescent="0.25">
      <c r="H11" s="165">
        <v>43738</v>
      </c>
      <c r="J11" s="165">
        <v>43465</v>
      </c>
      <c r="L11" s="165">
        <v>43373</v>
      </c>
    </row>
    <row r="12" spans="1:32" s="4" customFormat="1" ht="12.95" customHeight="1" x14ac:dyDescent="0.25">
      <c r="B12" s="15" t="s">
        <v>1257</v>
      </c>
      <c r="C12" s="16"/>
      <c r="D12" s="16"/>
      <c r="E12" s="16"/>
      <c r="F12" s="16"/>
      <c r="G12" s="16"/>
      <c r="H12" s="17"/>
      <c r="I12" s="16"/>
      <c r="J12" s="17"/>
      <c r="K12" s="17"/>
      <c r="L12" s="17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</row>
    <row r="13" spans="1:32" s="4" customFormat="1" ht="6.75" customHeight="1" x14ac:dyDescent="0.25">
      <c r="B13" s="19"/>
      <c r="C13" s="16"/>
      <c r="D13" s="16"/>
      <c r="E13" s="16"/>
      <c r="F13" s="16"/>
      <c r="G13" s="16"/>
      <c r="H13" s="17"/>
      <c r="I13" s="16"/>
      <c r="J13" s="17"/>
      <c r="K13" s="17"/>
      <c r="L13" s="17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</row>
    <row r="14" spans="1:32" s="4" customFormat="1" ht="12.95" customHeight="1" x14ac:dyDescent="0.25">
      <c r="B14" s="20" t="s">
        <v>1259</v>
      </c>
      <c r="C14" s="16"/>
      <c r="D14" s="16"/>
      <c r="E14" s="16"/>
      <c r="F14" s="16"/>
      <c r="G14" s="16"/>
      <c r="H14" s="17"/>
      <c r="I14" s="16"/>
      <c r="J14" s="17"/>
      <c r="K14" s="17"/>
      <c r="L14" s="17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</row>
    <row r="15" spans="1:32" s="4" customFormat="1" ht="12.95" customHeight="1" x14ac:dyDescent="0.25">
      <c r="B15" s="21" t="s">
        <v>1260</v>
      </c>
      <c r="C15" s="16"/>
      <c r="D15" s="16"/>
      <c r="E15" s="16"/>
      <c r="F15" s="16"/>
      <c r="G15" s="16"/>
      <c r="H15" s="241">
        <v>128565826.29000001</v>
      </c>
      <c r="I15" s="242"/>
      <c r="J15" s="241">
        <v>111850277.41</v>
      </c>
      <c r="K15" s="17"/>
      <c r="L15" s="241">
        <v>112331638.39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</row>
    <row r="16" spans="1:32" s="4" customFormat="1" ht="12.95" customHeight="1" x14ac:dyDescent="0.25">
      <c r="B16" s="21" t="s">
        <v>1261</v>
      </c>
      <c r="C16" s="16"/>
      <c r="D16" s="16"/>
      <c r="E16" s="16"/>
      <c r="F16" s="16"/>
      <c r="G16" s="29"/>
      <c r="H16" s="241">
        <v>8062959.1799999997</v>
      </c>
      <c r="I16" s="242"/>
      <c r="J16" s="241">
        <v>6585287.1699999999</v>
      </c>
      <c r="K16" s="17"/>
      <c r="L16" s="241">
        <v>8989922.9499999993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</row>
    <row r="17" spans="2:32" s="4" customFormat="1" ht="12.95" customHeight="1" x14ac:dyDescent="0.25">
      <c r="B17" s="21" t="s">
        <v>1262</v>
      </c>
      <c r="C17" s="16"/>
      <c r="D17" s="16"/>
      <c r="E17" s="16"/>
      <c r="F17" s="16"/>
      <c r="G17" s="16"/>
      <c r="H17" s="241">
        <v>3956760.69</v>
      </c>
      <c r="I17" s="242"/>
      <c r="J17" s="241">
        <v>7351760.6900000004</v>
      </c>
      <c r="K17" s="17"/>
      <c r="L17" s="241">
        <v>3956760.69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</row>
    <row r="18" spans="2:32" s="4" customFormat="1" ht="12.95" customHeight="1" x14ac:dyDescent="0.25">
      <c r="B18" s="21" t="s">
        <v>1263</v>
      </c>
      <c r="C18" s="16"/>
      <c r="D18" s="16"/>
      <c r="E18" s="16"/>
      <c r="F18" s="16"/>
      <c r="G18" s="16"/>
      <c r="H18" s="241">
        <v>2498724.23</v>
      </c>
      <c r="I18" s="242"/>
      <c r="J18" s="241">
        <v>1485316.42</v>
      </c>
      <c r="K18" s="17"/>
      <c r="L18" s="241">
        <v>2088654.34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</row>
    <row r="19" spans="2:32" s="4" customFormat="1" ht="12.95" customHeight="1" x14ac:dyDescent="0.25">
      <c r="B19" s="21" t="s">
        <v>1264</v>
      </c>
      <c r="C19" s="16"/>
      <c r="D19" s="16"/>
      <c r="E19" s="16"/>
      <c r="F19" s="16"/>
      <c r="G19" s="16"/>
      <c r="H19" s="241">
        <v>23963337.530000001</v>
      </c>
      <c r="I19" s="242"/>
      <c r="J19" s="241">
        <v>12076986.890000001</v>
      </c>
      <c r="K19" s="17"/>
      <c r="L19" s="241">
        <v>26529653.760000002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</row>
    <row r="20" spans="2:32" s="4" customFormat="1" ht="12.95" hidden="1" customHeight="1" x14ac:dyDescent="0.25">
      <c r="B20" s="21" t="s">
        <v>1265</v>
      </c>
      <c r="C20" s="16"/>
      <c r="D20" s="16"/>
      <c r="E20" s="16"/>
      <c r="F20" s="16"/>
      <c r="G20" s="16"/>
      <c r="H20" s="241">
        <v>0</v>
      </c>
      <c r="I20" s="242"/>
      <c r="J20" s="241">
        <v>0</v>
      </c>
      <c r="K20" s="17"/>
      <c r="L20" s="241">
        <v>0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</row>
    <row r="21" spans="2:32" s="4" customFormat="1" ht="12.95" customHeight="1" x14ac:dyDescent="0.25">
      <c r="B21" s="22" t="s">
        <v>1266</v>
      </c>
      <c r="C21" s="16"/>
      <c r="D21" s="16"/>
      <c r="E21" s="16"/>
      <c r="F21" s="16"/>
      <c r="G21" s="16"/>
      <c r="H21" s="243">
        <v>167047607.91999999</v>
      </c>
      <c r="I21" s="242"/>
      <c r="J21" s="243">
        <v>139349628.57999998</v>
      </c>
      <c r="K21" s="23"/>
      <c r="L21" s="243">
        <v>153896630.13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</row>
    <row r="22" spans="2:32" s="4" customFormat="1" ht="9.9499999999999993" customHeight="1" x14ac:dyDescent="0.25">
      <c r="B22" s="19"/>
      <c r="C22" s="16"/>
      <c r="D22" s="16"/>
      <c r="E22" s="16"/>
      <c r="F22" s="16"/>
      <c r="G22" s="16"/>
      <c r="H22" s="241"/>
      <c r="I22" s="242"/>
      <c r="J22" s="241"/>
      <c r="K22" s="17"/>
      <c r="L22" s="241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</row>
    <row r="23" spans="2:32" s="4" customFormat="1" ht="12.95" customHeight="1" x14ac:dyDescent="0.25">
      <c r="B23" s="20" t="s">
        <v>1267</v>
      </c>
      <c r="C23" s="16"/>
      <c r="D23" s="16"/>
      <c r="E23" s="16"/>
      <c r="F23" s="16"/>
      <c r="G23" s="16"/>
      <c r="H23" s="241"/>
      <c r="I23" s="242"/>
      <c r="J23" s="241"/>
      <c r="K23" s="17"/>
      <c r="L23" s="241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</row>
    <row r="24" spans="2:32" s="4" customFormat="1" ht="12.95" hidden="1" customHeight="1" x14ac:dyDescent="0.25">
      <c r="B24" s="21" t="s">
        <v>1268</v>
      </c>
      <c r="C24" s="16"/>
      <c r="D24" s="16"/>
      <c r="E24" s="16"/>
      <c r="F24" s="16"/>
      <c r="G24" s="16"/>
      <c r="H24" s="241"/>
      <c r="I24" s="242"/>
      <c r="J24" s="241"/>
      <c r="K24" s="17"/>
      <c r="L24" s="241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</row>
    <row r="25" spans="2:32" s="4" customFormat="1" ht="12.95" hidden="1" customHeight="1" x14ac:dyDescent="0.25">
      <c r="B25" s="25" t="s">
        <v>1269</v>
      </c>
      <c r="C25" s="16"/>
      <c r="D25" s="16"/>
      <c r="E25" s="16"/>
      <c r="F25" s="16"/>
      <c r="G25" s="16"/>
      <c r="H25" s="241">
        <v>17542139.809999999</v>
      </c>
      <c r="I25" s="242"/>
      <c r="J25" s="241">
        <v>17542139.809999999</v>
      </c>
      <c r="K25" s="17"/>
      <c r="L25" s="241">
        <v>17542139.809999999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</row>
    <row r="26" spans="2:32" s="4" customFormat="1" ht="12.95" hidden="1" customHeight="1" x14ac:dyDescent="0.25">
      <c r="B26" s="25" t="s">
        <v>1270</v>
      </c>
      <c r="C26" s="16"/>
      <c r="D26" s="16"/>
      <c r="E26" s="16"/>
      <c r="F26" s="16"/>
      <c r="G26" s="16"/>
      <c r="H26" s="241">
        <v>25763936.760000002</v>
      </c>
      <c r="I26" s="242"/>
      <c r="J26" s="241">
        <v>22022836.600000001</v>
      </c>
      <c r="K26" s="17"/>
      <c r="L26" s="241">
        <v>21964025.52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</row>
    <row r="27" spans="2:32" s="4" customFormat="1" ht="12.95" hidden="1" customHeight="1" x14ac:dyDescent="0.25">
      <c r="B27" s="25" t="s">
        <v>1271</v>
      </c>
      <c r="C27" s="16"/>
      <c r="D27" s="16"/>
      <c r="E27" s="16"/>
      <c r="F27" s="16"/>
      <c r="G27" s="16"/>
      <c r="H27" s="241">
        <v>0</v>
      </c>
      <c r="I27" s="242"/>
      <c r="J27" s="241">
        <v>0</v>
      </c>
      <c r="K27" s="17"/>
      <c r="L27" s="241">
        <v>0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</row>
    <row r="28" spans="2:32" s="4" customFormat="1" ht="12.95" hidden="1" customHeight="1" x14ac:dyDescent="0.25">
      <c r="B28" s="25" t="s">
        <v>1272</v>
      </c>
      <c r="C28" s="16"/>
      <c r="D28" s="16"/>
      <c r="E28" s="16"/>
      <c r="F28" s="16"/>
      <c r="G28" s="16"/>
      <c r="H28" s="241">
        <v>9433.5</v>
      </c>
      <c r="I28" s="242"/>
      <c r="J28" s="241">
        <v>9433.5</v>
      </c>
      <c r="K28" s="17"/>
      <c r="L28" s="241">
        <v>9433.5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</row>
    <row r="29" spans="2:32" s="4" customFormat="1" x14ac:dyDescent="0.25">
      <c r="B29" s="21" t="s">
        <v>1268</v>
      </c>
      <c r="C29" s="16"/>
      <c r="D29" s="16"/>
      <c r="E29" s="16"/>
      <c r="F29" s="16"/>
      <c r="G29" s="16"/>
      <c r="H29" s="241">
        <v>43315510.07</v>
      </c>
      <c r="I29" s="242"/>
      <c r="J29" s="241">
        <v>39574409.909999996</v>
      </c>
      <c r="K29" s="17"/>
      <c r="L29" s="241">
        <v>39515598.829999998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</row>
    <row r="30" spans="2:32" s="4" customFormat="1" ht="6" hidden="1" customHeight="1" x14ac:dyDescent="0.25">
      <c r="B30" s="19"/>
      <c r="C30" s="16"/>
      <c r="D30" s="16"/>
      <c r="E30" s="16"/>
      <c r="F30" s="16"/>
      <c r="G30" s="16"/>
      <c r="H30" s="241"/>
      <c r="I30" s="242"/>
      <c r="J30" s="241"/>
      <c r="K30" s="17"/>
      <c r="L30" s="241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</row>
    <row r="31" spans="2:32" s="4" customFormat="1" ht="12.95" customHeight="1" x14ac:dyDescent="0.25">
      <c r="B31" s="21" t="s">
        <v>1273</v>
      </c>
      <c r="C31" s="16"/>
      <c r="D31" s="16"/>
      <c r="E31" s="16"/>
      <c r="F31" s="16"/>
      <c r="G31" s="16"/>
      <c r="H31" s="241">
        <v>37574.050000000003</v>
      </c>
      <c r="I31" s="242"/>
      <c r="J31" s="241">
        <v>37574.050000000003</v>
      </c>
      <c r="K31" s="17"/>
      <c r="L31" s="241">
        <v>37574.050000000003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</row>
    <row r="32" spans="2:32" s="4" customFormat="1" ht="15" hidden="1" customHeight="1" x14ac:dyDescent="0.25">
      <c r="B32" s="21"/>
      <c r="C32" s="16"/>
      <c r="D32" s="16"/>
      <c r="E32" s="16"/>
      <c r="F32" s="16"/>
      <c r="G32" s="16"/>
      <c r="H32" s="241"/>
      <c r="I32" s="242"/>
      <c r="J32" s="241"/>
      <c r="K32" s="17"/>
      <c r="L32" s="241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</row>
    <row r="33" spans="1:32" s="4" customFormat="1" ht="15" hidden="1" customHeight="1" x14ac:dyDescent="0.25">
      <c r="B33" s="21" t="s">
        <v>1274</v>
      </c>
      <c r="C33" s="16"/>
      <c r="D33" s="16"/>
      <c r="E33" s="16"/>
      <c r="F33" s="16"/>
      <c r="G33" s="16"/>
      <c r="H33" s="241"/>
      <c r="I33" s="242"/>
      <c r="J33" s="241"/>
      <c r="K33" s="17"/>
      <c r="L33" s="241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</row>
    <row r="34" spans="1:32" s="4" customFormat="1" ht="15" hidden="1" customHeight="1" x14ac:dyDescent="0.25">
      <c r="B34" s="25" t="s">
        <v>1275</v>
      </c>
      <c r="C34" s="16"/>
      <c r="D34" s="16"/>
      <c r="E34" s="16"/>
      <c r="F34" s="16"/>
      <c r="G34" s="16"/>
      <c r="H34" s="241">
        <v>3265072183.5100002</v>
      </c>
      <c r="I34" s="242"/>
      <c r="J34" s="241">
        <v>3245859659.5900002</v>
      </c>
      <c r="K34" s="17"/>
      <c r="L34" s="241">
        <v>3238685752.2800002</v>
      </c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</row>
    <row r="35" spans="1:32" s="4" customFormat="1" ht="15" hidden="1" customHeight="1" x14ac:dyDescent="0.25">
      <c r="B35" s="25" t="s">
        <v>1276</v>
      </c>
      <c r="C35" s="16"/>
      <c r="D35" s="16"/>
      <c r="E35" s="16"/>
      <c r="F35" s="16"/>
      <c r="G35" s="16"/>
      <c r="H35" s="241">
        <v>2127374481.4300001</v>
      </c>
      <c r="I35" s="242"/>
      <c r="J35" s="241">
        <v>2134548741.6099999</v>
      </c>
      <c r="K35" s="17"/>
      <c r="L35" s="241">
        <v>2136940161.6700001</v>
      </c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</row>
    <row r="36" spans="1:32" s="4" customFormat="1" ht="15" hidden="1" customHeight="1" x14ac:dyDescent="0.25">
      <c r="B36" s="25" t="s">
        <v>1277</v>
      </c>
      <c r="C36" s="16"/>
      <c r="D36" s="16"/>
      <c r="E36" s="16"/>
      <c r="F36" s="16"/>
      <c r="G36" s="16"/>
      <c r="H36" s="241">
        <v>-221268373.16</v>
      </c>
      <c r="I36" s="242"/>
      <c r="J36" s="241">
        <v>-205238701.08000001</v>
      </c>
      <c r="K36" s="17"/>
      <c r="L36" s="241">
        <v>-199884224.56</v>
      </c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</row>
    <row r="37" spans="1:32" s="4" customFormat="1" ht="12.75" customHeight="1" x14ac:dyDescent="0.25">
      <c r="B37" s="21" t="s">
        <v>1274</v>
      </c>
      <c r="C37" s="16"/>
      <c r="D37" s="16"/>
      <c r="E37" s="16"/>
      <c r="F37" s="16"/>
      <c r="G37" s="16"/>
      <c r="H37" s="274">
        <v>5171178291.7800007</v>
      </c>
      <c r="I37" s="242"/>
      <c r="J37" s="241">
        <v>5175169700.1199999</v>
      </c>
      <c r="K37" s="17"/>
      <c r="L37" s="241">
        <v>5175741689.3900003</v>
      </c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</row>
    <row r="38" spans="1:32" s="4" customFormat="1" ht="15" hidden="1" customHeight="1" x14ac:dyDescent="0.25">
      <c r="B38" s="21" t="s">
        <v>1278</v>
      </c>
      <c r="C38" s="16"/>
      <c r="D38" s="16"/>
      <c r="E38" s="16"/>
      <c r="F38" s="16"/>
      <c r="G38" s="16"/>
      <c r="H38" s="241"/>
      <c r="I38" s="242"/>
      <c r="J38" s="241"/>
      <c r="K38" s="17"/>
      <c r="L38" s="241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</row>
    <row r="39" spans="1:32" s="4" customFormat="1" ht="15" hidden="1" customHeight="1" x14ac:dyDescent="0.25">
      <c r="B39" s="25" t="s">
        <v>1279</v>
      </c>
      <c r="C39" s="16"/>
      <c r="D39" s="16"/>
      <c r="E39" s="16"/>
      <c r="F39" s="16"/>
      <c r="G39" s="16"/>
      <c r="H39" s="241">
        <v>60919670.82</v>
      </c>
      <c r="I39" s="242"/>
      <c r="J39" s="241">
        <v>60195550.07</v>
      </c>
      <c r="K39" s="17"/>
      <c r="L39" s="241">
        <v>60186256.840000004</v>
      </c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</row>
    <row r="40" spans="1:32" s="4" customFormat="1" ht="15" hidden="1" customHeight="1" x14ac:dyDescent="0.25">
      <c r="B40" s="25" t="s">
        <v>1280</v>
      </c>
      <c r="C40" s="16"/>
      <c r="D40" s="16"/>
      <c r="E40" s="16"/>
      <c r="F40" s="16"/>
      <c r="G40" s="16"/>
      <c r="H40" s="241">
        <v>-15574149.449999999</v>
      </c>
      <c r="I40" s="242"/>
      <c r="J40" s="241">
        <v>-13393262.74</v>
      </c>
      <c r="K40" s="17"/>
      <c r="L40" s="241">
        <v>-12666048.970000001</v>
      </c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</row>
    <row r="41" spans="1:32" s="4" customFormat="1" ht="12.75" customHeight="1" x14ac:dyDescent="0.25">
      <c r="B41" s="21" t="s">
        <v>1278</v>
      </c>
      <c r="C41" s="16"/>
      <c r="D41" s="16"/>
      <c r="E41" s="16"/>
      <c r="F41" s="16"/>
      <c r="G41" s="16"/>
      <c r="H41" s="246">
        <v>45345521.370000005</v>
      </c>
      <c r="I41" s="242"/>
      <c r="J41" s="246">
        <v>46802287.329999998</v>
      </c>
      <c r="K41" s="17"/>
      <c r="L41" s="246">
        <v>47520207.870000005</v>
      </c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</row>
    <row r="42" spans="1:32" s="4" customFormat="1" ht="12.95" customHeight="1" x14ac:dyDescent="0.25">
      <c r="B42" s="22" t="s">
        <v>1281</v>
      </c>
      <c r="C42" s="27"/>
      <c r="D42" s="27"/>
      <c r="E42" s="27"/>
      <c r="F42" s="27"/>
      <c r="G42" s="27"/>
      <c r="H42" s="243">
        <v>5259876897.2700005</v>
      </c>
      <c r="I42" s="247"/>
      <c r="J42" s="243">
        <v>5261583971.4099998</v>
      </c>
      <c r="K42" s="23"/>
      <c r="L42" s="243">
        <v>5262815070.1400003</v>
      </c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</row>
    <row r="43" spans="1:32" s="4" customFormat="1" ht="7.5" customHeight="1" x14ac:dyDescent="0.25">
      <c r="B43" s="19"/>
      <c r="C43" s="16"/>
      <c r="D43" s="16"/>
      <c r="E43" s="16"/>
      <c r="F43" s="16"/>
      <c r="G43" s="16"/>
      <c r="H43" s="241"/>
      <c r="I43" s="242"/>
      <c r="J43" s="241"/>
      <c r="K43" s="17"/>
      <c r="L43" s="241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</row>
    <row r="44" spans="1:32" s="4" customFormat="1" ht="15.75" customHeight="1" thickBot="1" x14ac:dyDescent="0.3">
      <c r="A44" s="15" t="s">
        <v>1282</v>
      </c>
      <c r="B44" s="15"/>
      <c r="C44" s="15"/>
      <c r="D44" s="15"/>
      <c r="E44" s="15"/>
      <c r="F44" s="15"/>
      <c r="G44" s="15"/>
      <c r="H44" s="245">
        <v>5426924505.1900005</v>
      </c>
      <c r="I44" s="236"/>
      <c r="J44" s="245">
        <v>5400933599.9899998</v>
      </c>
      <c r="K44" s="239"/>
      <c r="L44" s="245">
        <v>5416711700.2700005</v>
      </c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</row>
    <row r="45" spans="1:32" ht="9.75" customHeight="1" thickTop="1" x14ac:dyDescent="0.25">
      <c r="B45" s="16"/>
      <c r="C45" s="30"/>
      <c r="D45" s="30"/>
      <c r="E45" s="30"/>
      <c r="F45" s="30"/>
      <c r="G45" s="30"/>
      <c r="H45" s="143"/>
      <c r="I45" s="30"/>
      <c r="K45" s="30"/>
      <c r="L45" s="30"/>
    </row>
    <row r="46" spans="1:32" ht="9.75" customHeight="1" x14ac:dyDescent="0.25">
      <c r="B46" s="16"/>
      <c r="C46" s="30"/>
      <c r="D46" s="30"/>
      <c r="E46" s="30"/>
      <c r="F46" s="30"/>
      <c r="G46" s="30"/>
      <c r="H46" s="238"/>
      <c r="I46" s="30"/>
      <c r="J46" s="238"/>
      <c r="K46" s="30"/>
      <c r="L46" s="30"/>
    </row>
    <row r="47" spans="1:32" ht="9.75" customHeight="1" x14ac:dyDescent="0.25">
      <c r="B47" s="16"/>
      <c r="C47" s="30"/>
      <c r="D47" s="30"/>
      <c r="E47" s="30"/>
      <c r="F47" s="30"/>
      <c r="G47" s="30"/>
      <c r="H47" s="30"/>
      <c r="I47" s="30"/>
      <c r="K47" s="30"/>
      <c r="L47" s="30"/>
    </row>
    <row r="48" spans="1:32" ht="9.75" customHeight="1" x14ac:dyDescent="0.25">
      <c r="B48" s="16"/>
      <c r="C48" s="30"/>
      <c r="D48" s="30"/>
      <c r="E48" s="30"/>
      <c r="F48" s="30"/>
      <c r="G48" s="30"/>
      <c r="H48" s="30"/>
      <c r="I48" s="30"/>
      <c r="K48" s="30"/>
      <c r="L48" s="30"/>
    </row>
    <row r="49" spans="1:12" ht="12.75" customHeight="1" x14ac:dyDescent="0.25"/>
    <row r="50" spans="1:12" ht="12.95" hidden="1" customHeight="1" x14ac:dyDescent="0.25">
      <c r="A50" s="294" t="s">
        <v>2448</v>
      </c>
      <c r="B50" s="294"/>
      <c r="C50" s="294"/>
      <c r="D50" s="294"/>
      <c r="E50" s="16"/>
      <c r="F50" s="16"/>
      <c r="J50" s="294" t="s">
        <v>1283</v>
      </c>
      <c r="K50" s="294"/>
      <c r="L50" s="294"/>
    </row>
    <row r="51" spans="1:12" ht="12.95" hidden="1" customHeight="1" x14ac:dyDescent="0.25">
      <c r="A51" s="294" t="s">
        <v>2447</v>
      </c>
      <c r="B51" s="294"/>
      <c r="C51" s="294"/>
      <c r="D51" s="294"/>
      <c r="E51" s="16"/>
      <c r="F51" s="16"/>
      <c r="J51" s="294" t="s">
        <v>1284</v>
      </c>
      <c r="K51" s="294"/>
      <c r="L51" s="294"/>
    </row>
    <row r="52" spans="1:12" ht="12.95" hidden="1" customHeight="1" x14ac:dyDescent="0.25">
      <c r="A52" s="294" t="s">
        <v>1285</v>
      </c>
      <c r="B52" s="294"/>
      <c r="C52" s="294"/>
      <c r="D52" s="294"/>
      <c r="E52" s="16"/>
      <c r="F52" s="16"/>
      <c r="J52" s="294" t="s">
        <v>1286</v>
      </c>
      <c r="K52" s="294"/>
      <c r="L52" s="294"/>
    </row>
    <row r="53" spans="1:12" ht="9.75" hidden="1" customHeight="1" x14ac:dyDescent="0.25">
      <c r="B53" s="16"/>
      <c r="C53" s="30"/>
      <c r="D53" s="30"/>
      <c r="E53" s="30"/>
      <c r="F53" s="30"/>
      <c r="G53" s="30"/>
      <c r="H53" s="30"/>
      <c r="I53" s="30"/>
      <c r="K53" s="30"/>
      <c r="L53" s="30"/>
    </row>
    <row r="54" spans="1:12" ht="9.75" hidden="1" customHeight="1" x14ac:dyDescent="0.25">
      <c r="B54" s="16"/>
      <c r="C54" s="30"/>
      <c r="D54" s="30"/>
      <c r="E54" s="30"/>
      <c r="F54" s="30"/>
      <c r="G54" s="30"/>
      <c r="H54" s="30"/>
      <c r="I54" s="30"/>
      <c r="K54" s="30"/>
      <c r="L54" s="30"/>
    </row>
    <row r="55" spans="1:12" ht="9.75" hidden="1" customHeight="1" x14ac:dyDescent="0.25">
      <c r="B55" s="16"/>
      <c r="C55" s="30"/>
      <c r="D55" s="30"/>
      <c r="E55" s="30"/>
      <c r="F55" s="30"/>
      <c r="G55" s="30"/>
      <c r="H55" s="30"/>
      <c r="I55" s="30"/>
      <c r="K55" s="30"/>
      <c r="L55" s="30"/>
    </row>
    <row r="56" spans="1:12" ht="9.75" hidden="1" customHeight="1" x14ac:dyDescent="0.25">
      <c r="B56" s="16"/>
      <c r="C56" s="30"/>
      <c r="D56" s="30"/>
      <c r="E56" s="30"/>
      <c r="F56" s="30"/>
      <c r="G56" s="30"/>
      <c r="H56" s="30"/>
      <c r="I56" s="30"/>
      <c r="K56" s="30"/>
      <c r="L56" s="30"/>
    </row>
    <row r="57" spans="1:12" x14ac:dyDescent="0.25">
      <c r="A57" s="295" t="s">
        <v>1253</v>
      </c>
      <c r="B57" s="295"/>
      <c r="C57" s="295"/>
      <c r="D57" s="295"/>
      <c r="E57" s="295"/>
      <c r="F57" s="295"/>
      <c r="G57" s="295"/>
      <c r="H57" s="295"/>
      <c r="I57" s="295"/>
      <c r="J57" s="295"/>
      <c r="K57" s="295"/>
      <c r="L57" s="295"/>
    </row>
    <row r="58" spans="1:12" x14ac:dyDescent="0.25">
      <c r="A58" s="295" t="s">
        <v>2</v>
      </c>
      <c r="B58" s="295"/>
      <c r="C58" s="295"/>
      <c r="D58" s="295"/>
      <c r="E58" s="295"/>
      <c r="F58" s="295"/>
      <c r="G58" s="295"/>
      <c r="H58" s="295"/>
      <c r="I58" s="295"/>
      <c r="J58" s="295"/>
      <c r="K58" s="295"/>
      <c r="L58" s="295"/>
    </row>
    <row r="59" spans="1:12" ht="9" customHeight="1" x14ac:dyDescent="0.25">
      <c r="A59" s="275"/>
      <c r="B59" s="275"/>
      <c r="C59" s="57"/>
      <c r="D59" s="57"/>
      <c r="E59" s="57"/>
      <c r="F59" s="57"/>
      <c r="G59" s="57"/>
      <c r="H59" s="57"/>
      <c r="I59" s="57"/>
      <c r="K59" s="58"/>
      <c r="L59" s="58"/>
    </row>
    <row r="60" spans="1:12" x14ac:dyDescent="0.25">
      <c r="A60" s="295" t="s">
        <v>1254</v>
      </c>
      <c r="B60" s="295"/>
      <c r="C60" s="295"/>
      <c r="D60" s="295"/>
      <c r="E60" s="295"/>
      <c r="F60" s="295"/>
      <c r="G60" s="295"/>
      <c r="H60" s="295"/>
      <c r="I60" s="295"/>
      <c r="J60" s="295"/>
      <c r="K60" s="295"/>
      <c r="L60" s="295"/>
    </row>
    <row r="61" spans="1:12" ht="15" customHeight="1" x14ac:dyDescent="0.25">
      <c r="A61" s="297" t="s">
        <v>2450</v>
      </c>
      <c r="B61" s="297"/>
      <c r="C61" s="297"/>
      <c r="D61" s="297"/>
      <c r="E61" s="297"/>
      <c r="F61" s="297"/>
      <c r="G61" s="297"/>
      <c r="H61" s="297"/>
      <c r="I61" s="297"/>
      <c r="J61" s="297"/>
      <c r="K61" s="297"/>
      <c r="L61" s="297"/>
    </row>
    <row r="62" spans="1:12" x14ac:dyDescent="0.25">
      <c r="A62" s="296" t="s">
        <v>1255</v>
      </c>
      <c r="B62" s="296"/>
      <c r="C62" s="296"/>
      <c r="D62" s="296"/>
      <c r="E62" s="296"/>
      <c r="F62" s="296"/>
      <c r="G62" s="296"/>
      <c r="H62" s="296"/>
      <c r="I62" s="296"/>
      <c r="J62" s="296"/>
      <c r="K62" s="296"/>
      <c r="L62" s="296"/>
    </row>
    <row r="63" spans="1:12" ht="6" customHeight="1" x14ac:dyDescent="0.25"/>
    <row r="64" spans="1:12" ht="12.75" customHeight="1" x14ac:dyDescent="0.25">
      <c r="H64" s="165">
        <v>43738</v>
      </c>
      <c r="J64" s="165">
        <v>43465</v>
      </c>
      <c r="L64" s="165">
        <v>43373</v>
      </c>
    </row>
    <row r="65" spans="1:12" ht="12" customHeight="1" x14ac:dyDescent="0.25">
      <c r="B65" s="16"/>
      <c r="C65" s="30"/>
      <c r="D65" s="30"/>
      <c r="E65" s="30"/>
      <c r="F65" s="30"/>
      <c r="G65" s="30"/>
      <c r="H65" s="30"/>
      <c r="I65" s="30"/>
      <c r="J65" s="30"/>
      <c r="K65" s="30"/>
      <c r="L65" s="30"/>
    </row>
    <row r="66" spans="1:12" ht="9.75" customHeight="1" x14ac:dyDescent="0.25">
      <c r="B66" s="16"/>
      <c r="C66" s="30"/>
      <c r="D66" s="30"/>
      <c r="E66" s="30"/>
      <c r="F66" s="30"/>
      <c r="G66" s="30"/>
      <c r="H66" s="30"/>
      <c r="I66" s="30"/>
      <c r="J66" s="30"/>
      <c r="K66" s="30"/>
      <c r="L66" s="30"/>
    </row>
    <row r="67" spans="1:12" ht="12.95" customHeight="1" x14ac:dyDescent="0.25">
      <c r="A67" s="19"/>
      <c r="B67" s="15" t="s">
        <v>1287</v>
      </c>
      <c r="C67" s="16"/>
      <c r="D67" s="16"/>
      <c r="E67" s="16"/>
      <c r="F67" s="16"/>
      <c r="G67" s="16"/>
      <c r="H67" s="17"/>
      <c r="I67" s="16"/>
      <c r="J67" s="17"/>
      <c r="K67" s="17"/>
      <c r="L67" s="17"/>
    </row>
    <row r="68" spans="1:12" ht="9.9499999999999993" customHeight="1" x14ac:dyDescent="0.25">
      <c r="A68" s="19"/>
      <c r="B68" s="19"/>
      <c r="C68" s="16"/>
      <c r="D68" s="16"/>
      <c r="E68" s="16"/>
      <c r="F68" s="16"/>
      <c r="G68" s="16"/>
      <c r="H68" s="17"/>
      <c r="I68" s="16"/>
      <c r="J68" s="17"/>
      <c r="K68" s="17"/>
      <c r="L68" s="17"/>
    </row>
    <row r="69" spans="1:12" ht="12.95" customHeight="1" x14ac:dyDescent="0.25">
      <c r="A69" s="19"/>
      <c r="B69" s="20" t="s">
        <v>1259</v>
      </c>
      <c r="C69" s="16"/>
      <c r="D69" s="16"/>
      <c r="E69" s="16"/>
      <c r="F69" s="16"/>
      <c r="G69" s="16"/>
      <c r="H69" s="17"/>
      <c r="I69" s="16"/>
      <c r="J69" s="17"/>
      <c r="K69" s="17"/>
      <c r="L69" s="17"/>
    </row>
    <row r="70" spans="1:12" ht="12.75" hidden="1" customHeight="1" x14ac:dyDescent="0.25">
      <c r="A70" s="19"/>
      <c r="B70" s="21" t="s">
        <v>1288</v>
      </c>
      <c r="C70" s="16"/>
      <c r="D70" s="16"/>
      <c r="E70" s="16"/>
      <c r="F70" s="16"/>
      <c r="G70" s="16"/>
      <c r="H70" s="17">
        <v>0</v>
      </c>
      <c r="I70" s="16"/>
      <c r="J70" s="17">
        <v>0</v>
      </c>
      <c r="K70" s="17"/>
      <c r="L70" s="17">
        <v>0</v>
      </c>
    </row>
    <row r="71" spans="1:12" ht="12.95" customHeight="1" x14ac:dyDescent="0.25">
      <c r="A71" s="19"/>
      <c r="B71" s="21" t="s">
        <v>1289</v>
      </c>
      <c r="C71" s="16"/>
      <c r="D71" s="16"/>
      <c r="E71" s="16"/>
      <c r="F71" s="16"/>
      <c r="G71" s="29"/>
      <c r="H71" s="241">
        <v>113819123.19</v>
      </c>
      <c r="I71" s="242"/>
      <c r="J71" s="241">
        <v>111005749.09</v>
      </c>
      <c r="K71" s="17"/>
      <c r="L71" s="241">
        <v>114710551.44</v>
      </c>
    </row>
    <row r="72" spans="1:12" ht="12.95" customHeight="1" x14ac:dyDescent="0.25">
      <c r="A72" s="19"/>
      <c r="B72" s="21" t="s">
        <v>1290</v>
      </c>
      <c r="C72" s="16"/>
      <c r="D72" s="16"/>
      <c r="E72" s="16"/>
      <c r="F72" s="16"/>
      <c r="G72" s="16"/>
      <c r="H72" s="241">
        <v>4595825.05</v>
      </c>
      <c r="I72" s="242"/>
      <c r="J72" s="241">
        <v>3742977.36</v>
      </c>
      <c r="K72" s="17"/>
      <c r="L72" s="241">
        <v>3755017.32</v>
      </c>
    </row>
    <row r="73" spans="1:12" ht="12.95" customHeight="1" x14ac:dyDescent="0.25">
      <c r="A73" s="19"/>
      <c r="B73" s="21" t="s">
        <v>1291</v>
      </c>
      <c r="C73" s="16"/>
      <c r="D73" s="16"/>
      <c r="E73" s="16"/>
      <c r="F73" s="16"/>
      <c r="G73" s="16"/>
      <c r="H73" s="241">
        <v>19330118.32</v>
      </c>
      <c r="I73" s="242"/>
      <c r="J73" s="241">
        <v>7962256.9900000002</v>
      </c>
      <c r="K73" s="17"/>
      <c r="L73" s="241">
        <v>21236011.399999999</v>
      </c>
    </row>
    <row r="74" spans="1:12" ht="12.95" customHeight="1" x14ac:dyDescent="0.25">
      <c r="A74" s="19"/>
      <c r="B74" s="21" t="s">
        <v>1292</v>
      </c>
      <c r="C74" s="16"/>
      <c r="D74" s="16"/>
      <c r="E74" s="16"/>
      <c r="F74" s="16"/>
      <c r="G74" s="16"/>
      <c r="H74" s="241">
        <v>5934791.1900000004</v>
      </c>
      <c r="I74" s="242"/>
      <c r="J74" s="241">
        <v>4606550.9800000004</v>
      </c>
      <c r="K74" s="17"/>
      <c r="L74" s="241">
        <v>6048584.9299999997</v>
      </c>
    </row>
    <row r="75" spans="1:12" ht="12.95" customHeight="1" x14ac:dyDescent="0.25">
      <c r="A75" s="19"/>
      <c r="B75" s="21" t="s">
        <v>1293</v>
      </c>
      <c r="C75" s="16"/>
      <c r="D75" s="16"/>
      <c r="E75" s="16"/>
      <c r="F75" s="16"/>
      <c r="G75" s="16"/>
      <c r="H75" s="241">
        <v>374183.58</v>
      </c>
      <c r="I75" s="242"/>
      <c r="J75" s="241">
        <v>374576.26</v>
      </c>
      <c r="K75" s="17"/>
      <c r="L75" s="241">
        <v>316647.90000000002</v>
      </c>
    </row>
    <row r="76" spans="1:12" ht="12.95" hidden="1" customHeight="1" x14ac:dyDescent="0.25">
      <c r="A76" s="19"/>
      <c r="B76" s="21" t="s">
        <v>1294</v>
      </c>
      <c r="C76" s="16"/>
      <c r="D76" s="16"/>
      <c r="E76" s="16"/>
      <c r="F76" s="16"/>
      <c r="G76" s="16"/>
      <c r="H76" s="241">
        <v>0</v>
      </c>
      <c r="I76" s="242"/>
      <c r="J76" s="241">
        <v>0</v>
      </c>
      <c r="K76" s="17"/>
      <c r="L76" s="241">
        <v>0</v>
      </c>
    </row>
    <row r="77" spans="1:12" ht="12.95" customHeight="1" x14ac:dyDescent="0.25">
      <c r="A77" s="19"/>
      <c r="B77" s="21" t="s">
        <v>1295</v>
      </c>
      <c r="C77" s="16"/>
      <c r="D77" s="16"/>
      <c r="E77" s="16"/>
      <c r="F77" s="16"/>
      <c r="G77" s="16"/>
      <c r="H77" s="241">
        <v>2077885.47</v>
      </c>
      <c r="I77" s="242"/>
      <c r="J77" s="241">
        <v>12768888.949999999</v>
      </c>
      <c r="K77" s="17"/>
      <c r="L77" s="241">
        <v>7172340.5300000003</v>
      </c>
    </row>
    <row r="78" spans="1:12" ht="12.95" customHeight="1" x14ac:dyDescent="0.25">
      <c r="A78" s="19"/>
      <c r="B78" s="22" t="s">
        <v>1266</v>
      </c>
      <c r="C78" s="16"/>
      <c r="D78" s="16"/>
      <c r="E78" s="16"/>
      <c r="F78" s="16"/>
      <c r="G78" s="16"/>
      <c r="H78" s="243">
        <v>146131926.80000001</v>
      </c>
      <c r="I78" s="242"/>
      <c r="J78" s="243">
        <v>140460999.63</v>
      </c>
      <c r="K78" s="23"/>
      <c r="L78" s="243">
        <v>153239153.52000001</v>
      </c>
    </row>
    <row r="79" spans="1:12" ht="9.9499999999999993" customHeight="1" x14ac:dyDescent="0.25">
      <c r="A79" s="19"/>
      <c r="B79" s="19"/>
      <c r="C79" s="16"/>
      <c r="D79" s="16"/>
      <c r="E79" s="16"/>
      <c r="F79" s="16"/>
      <c r="G79" s="16"/>
      <c r="H79" s="241"/>
      <c r="I79" s="242"/>
      <c r="J79" s="241"/>
      <c r="K79" s="17"/>
      <c r="L79" s="241"/>
    </row>
    <row r="80" spans="1:12" ht="12.95" customHeight="1" x14ac:dyDescent="0.25">
      <c r="A80" s="19"/>
      <c r="B80" s="20" t="s">
        <v>1267</v>
      </c>
      <c r="C80" s="16"/>
      <c r="D80" s="16"/>
      <c r="E80" s="16"/>
      <c r="F80" s="16"/>
      <c r="G80" s="16"/>
      <c r="H80" s="241"/>
      <c r="I80" s="242"/>
      <c r="J80" s="241"/>
      <c r="K80" s="17"/>
      <c r="L80" s="241"/>
    </row>
    <row r="81" spans="1:12" ht="12.75" hidden="1" customHeight="1" x14ac:dyDescent="0.25">
      <c r="A81" s="19"/>
      <c r="B81" s="21" t="s">
        <v>1296</v>
      </c>
      <c r="C81" s="16"/>
      <c r="D81" s="16"/>
      <c r="E81" s="16"/>
      <c r="F81" s="16"/>
      <c r="G81" s="16"/>
      <c r="H81" s="241">
        <v>0</v>
      </c>
      <c r="I81" s="242"/>
      <c r="J81" s="241">
        <v>0</v>
      </c>
      <c r="K81" s="17"/>
      <c r="L81" s="241">
        <v>0</v>
      </c>
    </row>
    <row r="82" spans="1:12" ht="12.95" customHeight="1" x14ac:dyDescent="0.25">
      <c r="A82" s="19"/>
      <c r="B82" s="21" t="s">
        <v>1297</v>
      </c>
      <c r="C82" s="16"/>
      <c r="D82" s="16"/>
      <c r="E82" s="16"/>
      <c r="F82" s="16"/>
      <c r="G82" s="16"/>
      <c r="H82" s="241">
        <v>754256065.00999999</v>
      </c>
      <c r="I82" s="242"/>
      <c r="J82" s="241">
        <v>758944201.62</v>
      </c>
      <c r="K82" s="17"/>
      <c r="L82" s="241">
        <v>760837198.11000001</v>
      </c>
    </row>
    <row r="83" spans="1:12" ht="12.95" customHeight="1" x14ac:dyDescent="0.25">
      <c r="A83" s="19"/>
      <c r="B83" s="21" t="s">
        <v>1298</v>
      </c>
      <c r="C83" s="16"/>
      <c r="D83" s="16"/>
      <c r="E83" s="16"/>
      <c r="F83" s="16"/>
      <c r="G83" s="16"/>
      <c r="H83" s="241">
        <v>29898828.77</v>
      </c>
      <c r="I83" s="242"/>
      <c r="J83" s="241">
        <v>29043784.030000001</v>
      </c>
      <c r="K83" s="17"/>
      <c r="L83" s="241">
        <v>28760487.699999999</v>
      </c>
    </row>
    <row r="84" spans="1:12" ht="12.95" customHeight="1" x14ac:dyDescent="0.25">
      <c r="A84" s="19"/>
      <c r="B84" s="21" t="s">
        <v>1299</v>
      </c>
      <c r="C84" s="16"/>
      <c r="D84" s="16"/>
      <c r="E84" s="16"/>
      <c r="F84" s="16"/>
      <c r="G84" s="16"/>
      <c r="H84" s="241">
        <v>720367221.46000004</v>
      </c>
      <c r="I84" s="242"/>
      <c r="J84" s="241">
        <v>722806469.95000005</v>
      </c>
      <c r="K84" s="17"/>
      <c r="L84" s="241">
        <v>724506735</v>
      </c>
    </row>
    <row r="85" spans="1:12" ht="12.95" customHeight="1" x14ac:dyDescent="0.25">
      <c r="A85" s="19"/>
      <c r="B85" s="21" t="s">
        <v>1300</v>
      </c>
      <c r="C85" s="16"/>
      <c r="D85" s="16"/>
      <c r="E85" s="16"/>
      <c r="F85" s="16"/>
      <c r="G85" s="16"/>
      <c r="H85" s="273">
        <v>5015371.3600000003</v>
      </c>
      <c r="I85" s="242"/>
      <c r="J85" s="241">
        <v>5116794.6399999997</v>
      </c>
      <c r="K85" s="17"/>
      <c r="L85" s="241">
        <v>2507435.1800000002</v>
      </c>
    </row>
    <row r="86" spans="1:12" ht="12.95" customHeight="1" x14ac:dyDescent="0.25">
      <c r="A86" s="19"/>
      <c r="B86" s="21" t="s">
        <v>1473</v>
      </c>
      <c r="C86" s="16"/>
      <c r="D86" s="16"/>
      <c r="E86" s="16"/>
      <c r="F86" s="16"/>
      <c r="G86" s="16"/>
      <c r="H86" s="241">
        <v>0</v>
      </c>
      <c r="I86" s="242"/>
      <c r="J86" s="241">
        <v>0</v>
      </c>
      <c r="K86" s="17"/>
      <c r="L86" s="241">
        <v>10685937.41</v>
      </c>
    </row>
    <row r="87" spans="1:12" ht="12.95" customHeight="1" x14ac:dyDescent="0.25">
      <c r="A87" s="19"/>
      <c r="B87" s="19"/>
      <c r="C87" s="16"/>
      <c r="D87" s="16"/>
      <c r="E87" s="16"/>
      <c r="F87" s="16"/>
      <c r="G87" s="16"/>
      <c r="H87" s="244">
        <v>1509537486.5999999</v>
      </c>
      <c r="I87" s="242"/>
      <c r="J87" s="244">
        <v>1515911250.24</v>
      </c>
      <c r="K87" s="17"/>
      <c r="L87" s="244">
        <v>1527297793.4000001</v>
      </c>
    </row>
    <row r="88" spans="1:12" ht="12.95" customHeight="1" x14ac:dyDescent="0.25">
      <c r="A88" s="19"/>
      <c r="B88" s="21" t="s">
        <v>1301</v>
      </c>
      <c r="C88" s="16"/>
      <c r="D88" s="16"/>
      <c r="E88" s="16"/>
      <c r="F88" s="16"/>
      <c r="G88" s="16"/>
      <c r="H88" s="241">
        <v>644352639.44000006</v>
      </c>
      <c r="I88" s="242"/>
      <c r="J88" s="241">
        <v>644352639.44000006</v>
      </c>
      <c r="K88" s="17"/>
      <c r="L88" s="241">
        <v>644352639.44000006</v>
      </c>
    </row>
    <row r="89" spans="1:12" ht="12.95" customHeight="1" x14ac:dyDescent="0.25">
      <c r="A89" s="19"/>
      <c r="B89" s="22" t="s">
        <v>1281</v>
      </c>
      <c r="C89" s="16"/>
      <c r="D89" s="16"/>
      <c r="E89" s="16"/>
      <c r="F89" s="16"/>
      <c r="G89" s="16"/>
      <c r="H89" s="243">
        <v>2153890126.04</v>
      </c>
      <c r="I89" s="242"/>
      <c r="J89" s="243">
        <v>2160263889.6800003</v>
      </c>
      <c r="K89" s="23"/>
      <c r="L89" s="243">
        <v>2171650432.8400002</v>
      </c>
    </row>
    <row r="90" spans="1:12" ht="12.95" customHeight="1" x14ac:dyDescent="0.25">
      <c r="A90" s="19"/>
      <c r="B90" s="19"/>
      <c r="C90" s="16"/>
      <c r="D90" s="16"/>
      <c r="E90" s="16"/>
      <c r="F90" s="16"/>
      <c r="G90" s="16"/>
      <c r="H90" s="241"/>
      <c r="I90" s="242"/>
      <c r="J90" s="241"/>
      <c r="K90" s="17"/>
      <c r="L90" s="241"/>
    </row>
    <row r="91" spans="1:12" ht="12.95" customHeight="1" x14ac:dyDescent="0.25">
      <c r="A91" s="19"/>
      <c r="B91" s="20" t="s">
        <v>1302</v>
      </c>
      <c r="C91" s="16"/>
      <c r="D91" s="16"/>
      <c r="E91" s="16"/>
      <c r="F91" s="16"/>
      <c r="G91" s="16"/>
      <c r="H91" s="241"/>
      <c r="I91" s="242"/>
      <c r="J91" s="241"/>
      <c r="K91" s="17"/>
      <c r="L91" s="241"/>
    </row>
    <row r="92" spans="1:12" ht="12.95" customHeight="1" x14ac:dyDescent="0.25">
      <c r="A92" s="19"/>
      <c r="B92" s="21" t="s">
        <v>1303</v>
      </c>
      <c r="C92" s="16"/>
      <c r="D92" s="16"/>
      <c r="E92" s="16"/>
      <c r="F92" s="16"/>
      <c r="G92" s="16"/>
      <c r="H92" s="241">
        <v>1578221911.95</v>
      </c>
      <c r="I92" s="242"/>
      <c r="J92" s="241">
        <v>1577500561.51</v>
      </c>
      <c r="K92" s="17"/>
      <c r="L92" s="241">
        <v>1576949888.5999999</v>
      </c>
    </row>
    <row r="93" spans="1:12" ht="12.95" customHeight="1" x14ac:dyDescent="0.25">
      <c r="A93" s="19"/>
      <c r="B93" s="21" t="s">
        <v>1304</v>
      </c>
      <c r="C93" s="16"/>
      <c r="D93" s="16"/>
      <c r="E93" s="16"/>
      <c r="F93" s="16"/>
      <c r="G93" s="16"/>
      <c r="H93" s="241">
        <v>26343978.829999998</v>
      </c>
      <c r="I93" s="242"/>
      <c r="J93" s="241">
        <v>26086478.829999998</v>
      </c>
      <c r="K93" s="17"/>
      <c r="L93" s="241">
        <v>25976228.829999998</v>
      </c>
    </row>
    <row r="94" spans="1:12" ht="12.95" customHeight="1" x14ac:dyDescent="0.25">
      <c r="A94" s="19"/>
      <c r="B94" s="21" t="s">
        <v>1305</v>
      </c>
      <c r="C94" s="16"/>
      <c r="D94" s="16"/>
      <c r="E94" s="16"/>
      <c r="F94" s="16"/>
      <c r="G94" s="16"/>
      <c r="H94" s="241">
        <v>1404067157.8699999</v>
      </c>
      <c r="I94" s="242"/>
      <c r="J94" s="241">
        <v>1408802169.5599999</v>
      </c>
      <c r="K94" s="17"/>
      <c r="L94" s="241">
        <v>1410380506.79</v>
      </c>
    </row>
    <row r="95" spans="1:12" ht="12.95" customHeight="1" x14ac:dyDescent="0.25">
      <c r="A95" s="19"/>
      <c r="B95" s="21" t="s">
        <v>2446</v>
      </c>
      <c r="C95" s="16"/>
      <c r="D95" s="16"/>
      <c r="E95" s="16"/>
      <c r="F95" s="16"/>
      <c r="G95" s="16"/>
      <c r="H95" s="241">
        <v>118269403.70000005</v>
      </c>
      <c r="I95" s="242"/>
      <c r="J95" s="241">
        <v>87819500.780000001</v>
      </c>
      <c r="K95" s="17"/>
      <c r="L95" s="241">
        <v>78515489.689999998</v>
      </c>
    </row>
    <row r="96" spans="1:12" ht="12.95" customHeight="1" x14ac:dyDescent="0.25">
      <c r="A96" s="19"/>
      <c r="B96" s="21" t="s">
        <v>1306</v>
      </c>
      <c r="C96" s="16"/>
      <c r="D96" s="16"/>
      <c r="E96" s="16"/>
      <c r="F96" s="16"/>
      <c r="G96" s="16"/>
      <c r="H96" s="241">
        <v>0</v>
      </c>
      <c r="I96" s="242"/>
      <c r="J96" s="241">
        <v>0</v>
      </c>
      <c r="K96" s="17"/>
      <c r="L96" s="241">
        <v>0</v>
      </c>
    </row>
    <row r="97" spans="1:12" ht="12.95" customHeight="1" x14ac:dyDescent="0.25">
      <c r="A97" s="19"/>
      <c r="B97" s="22" t="s">
        <v>1307</v>
      </c>
      <c r="C97" s="16"/>
      <c r="D97" s="16"/>
      <c r="E97" s="16"/>
      <c r="F97" s="16"/>
      <c r="G97" s="16"/>
      <c r="H97" s="243">
        <v>3126902452.3499994</v>
      </c>
      <c r="I97" s="242"/>
      <c r="J97" s="243">
        <v>3100208710.6799998</v>
      </c>
      <c r="K97" s="23"/>
      <c r="L97" s="243">
        <v>3091822113.9099998</v>
      </c>
    </row>
    <row r="98" spans="1:12" ht="9" customHeight="1" x14ac:dyDescent="0.25">
      <c r="A98" s="19"/>
      <c r="B98" s="19"/>
      <c r="C98" s="16"/>
      <c r="D98" s="16"/>
      <c r="E98" s="16"/>
      <c r="F98" s="16"/>
      <c r="G98" s="16"/>
      <c r="H98" s="241"/>
      <c r="I98" s="242"/>
      <c r="J98" s="241"/>
      <c r="K98" s="17"/>
      <c r="L98" s="241"/>
    </row>
    <row r="99" spans="1:12" ht="12.95" customHeight="1" thickBot="1" x14ac:dyDescent="0.3">
      <c r="A99" s="15" t="s">
        <v>1308</v>
      </c>
      <c r="B99" s="15"/>
      <c r="C99" s="15"/>
      <c r="D99" s="15"/>
      <c r="E99" s="15"/>
      <c r="F99" s="15"/>
      <c r="G99" s="15"/>
      <c r="H99" s="245">
        <v>5426924505.1899996</v>
      </c>
      <c r="I99" s="236"/>
      <c r="J99" s="245">
        <v>5400933599.9899998</v>
      </c>
      <c r="K99" s="239"/>
      <c r="L99" s="245">
        <v>5416711700.2700005</v>
      </c>
    </row>
    <row r="100" spans="1:12" ht="12.95" customHeight="1" thickTop="1" x14ac:dyDescent="0.25"/>
    <row r="101" spans="1:12" ht="12.75" customHeight="1" x14ac:dyDescent="0.25"/>
    <row r="102" spans="1:12" ht="12.75" customHeight="1" x14ac:dyDescent="0.25"/>
    <row r="103" spans="1:12" ht="12.75" hidden="1" customHeight="1" x14ac:dyDescent="0.25"/>
    <row r="104" spans="1:12" ht="12.95" hidden="1" customHeight="1" x14ac:dyDescent="0.25">
      <c r="A104" s="294" t="str">
        <f t="shared" ref="A104:A106" si="0">A50</f>
        <v>Dilermano Alves de Brito</v>
      </c>
      <c r="B104" s="294"/>
      <c r="C104" s="294"/>
      <c r="D104" s="294"/>
      <c r="E104" s="16"/>
      <c r="F104" s="16"/>
      <c r="J104" s="294" t="str">
        <f t="shared" ref="J104:J106" si="1">J50</f>
        <v>Glauber Ramos Oliveira de Assis</v>
      </c>
      <c r="K104" s="294"/>
      <c r="L104" s="294"/>
    </row>
    <row r="105" spans="1:12" ht="12.95" hidden="1" customHeight="1" x14ac:dyDescent="0.25">
      <c r="A105" s="294" t="str">
        <f t="shared" si="0"/>
        <v>CPF nº 027.282.864-50</v>
      </c>
      <c r="B105" s="294"/>
      <c r="C105" s="294"/>
      <c r="D105" s="294"/>
      <c r="E105" s="16"/>
      <c r="F105" s="16"/>
      <c r="J105" s="294" t="str">
        <f t="shared" si="1"/>
        <v>CPF nº 027.784.974-80</v>
      </c>
      <c r="K105" s="294"/>
      <c r="L105" s="294"/>
    </row>
    <row r="106" spans="1:12" ht="12.95" hidden="1" customHeight="1" x14ac:dyDescent="0.25">
      <c r="A106" s="294" t="str">
        <f t="shared" si="0"/>
        <v>Diretor Administrativo-Financeiro</v>
      </c>
      <c r="B106" s="294"/>
      <c r="C106" s="294"/>
      <c r="D106" s="294"/>
      <c r="E106" s="16"/>
      <c r="F106" s="16"/>
      <c r="J106" s="294" t="str">
        <f t="shared" si="1"/>
        <v>Contador CRC/PE 017099/O-9</v>
      </c>
      <c r="K106" s="294"/>
      <c r="L106" s="294"/>
    </row>
    <row r="107" spans="1:12" ht="12.75" customHeight="1" x14ac:dyDescent="0.25"/>
    <row r="108" spans="1:12" ht="12.75" customHeight="1" x14ac:dyDescent="0.25"/>
    <row r="109" spans="1:12" ht="12.75" customHeight="1" x14ac:dyDescent="0.25">
      <c r="H109" s="228">
        <f>H99-H44</f>
        <v>0</v>
      </c>
      <c r="J109" s="228">
        <f>J99-J44</f>
        <v>0</v>
      </c>
      <c r="L109" s="228">
        <f>L99-L44</f>
        <v>0</v>
      </c>
    </row>
    <row r="110" spans="1:12" ht="12.75" customHeight="1" x14ac:dyDescent="0.25"/>
  </sheetData>
  <mergeCells count="22">
    <mergeCell ref="A50:D50"/>
    <mergeCell ref="J50:L50"/>
    <mergeCell ref="A51:D51"/>
    <mergeCell ref="J51:L51"/>
    <mergeCell ref="A52:D52"/>
    <mergeCell ref="J52:L52"/>
    <mergeCell ref="A57:L57"/>
    <mergeCell ref="A58:L58"/>
    <mergeCell ref="A60:L60"/>
    <mergeCell ref="A61:L61"/>
    <mergeCell ref="A62:L62"/>
    <mergeCell ref="A4:L4"/>
    <mergeCell ref="A7:L7"/>
    <mergeCell ref="A9:L9"/>
    <mergeCell ref="A5:L5"/>
    <mergeCell ref="A8:L8"/>
    <mergeCell ref="A104:D104"/>
    <mergeCell ref="J104:L104"/>
    <mergeCell ref="A105:D105"/>
    <mergeCell ref="J105:L105"/>
    <mergeCell ref="A106:D106"/>
    <mergeCell ref="J106:L106"/>
  </mergeCells>
  <printOptions horizontalCentered="1"/>
  <pageMargins left="0.31496062992125984" right="0.31496062992125984" top="1.5748031496062993" bottom="0.98425196850393704" header="0.70866141732283472" footer="0.31496062992125984"/>
  <pageSetup paperSize="9" scale="95" orientation="portrait" r:id="rId1"/>
  <rowBreaks count="1" manualBreakCount="1">
    <brk id="56" max="11" man="1"/>
  </rowBreak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A155D2B-8A26-40F8-BA7C-294D8A2B3BD4}">
          <x14:formula1>
            <xm:f>Controles!$B$1:$B$2</xm:f>
          </x14:formula1>
          <xm:sqref>C1 C3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62"/>
  <sheetViews>
    <sheetView showGridLines="0" view="pageBreakPreview" zoomScale="140" zoomScaleNormal="120" zoomScaleSheetLayoutView="140" workbookViewId="0">
      <selection activeCell="K18" sqref="K18"/>
    </sheetView>
  </sheetViews>
  <sheetFormatPr defaultRowHeight="15" x14ac:dyDescent="0.25"/>
  <cols>
    <col min="1" max="1" width="2.7109375" customWidth="1"/>
    <col min="2" max="2" width="10.28515625" customWidth="1"/>
    <col min="3" max="3" width="10.7109375" customWidth="1"/>
    <col min="4" max="4" width="10.42578125" customWidth="1"/>
    <col min="5" max="5" width="10" customWidth="1"/>
    <col min="6" max="6" width="8.5703125" customWidth="1"/>
    <col min="7" max="7" width="16.42578125" bestFit="1" customWidth="1"/>
    <col min="8" max="8" width="1.7109375" customWidth="1"/>
    <col min="9" max="9" width="16.42578125" bestFit="1" customWidth="1"/>
    <col min="10" max="10" width="1.7109375" customWidth="1"/>
    <col min="11" max="11" width="12.28515625" customWidth="1"/>
    <col min="12" max="12" width="13.28515625" bestFit="1" customWidth="1"/>
    <col min="13" max="13" width="12.28515625" bestFit="1" customWidth="1"/>
  </cols>
  <sheetData>
    <row r="1" spans="1:13" ht="21.75" customHeight="1" x14ac:dyDescent="0.25">
      <c r="A1" s="295" t="s">
        <v>1253</v>
      </c>
      <c r="B1" s="295"/>
      <c r="C1" s="295"/>
      <c r="D1" s="295"/>
      <c r="E1" s="295"/>
      <c r="F1" s="295"/>
      <c r="G1" s="295"/>
      <c r="H1" s="295"/>
      <c r="I1" s="295"/>
      <c r="J1" s="295"/>
    </row>
    <row r="2" spans="1:13" ht="23.25" customHeight="1" x14ac:dyDescent="0.25">
      <c r="A2" s="298" t="s">
        <v>2</v>
      </c>
      <c r="B2" s="298"/>
      <c r="C2" s="298"/>
      <c r="D2" s="298"/>
      <c r="E2" s="298"/>
      <c r="F2" s="298"/>
      <c r="G2" s="298"/>
      <c r="H2" s="298"/>
      <c r="I2" s="298"/>
      <c r="J2" s="298"/>
    </row>
    <row r="3" spans="1:13" ht="15.75" customHeight="1" x14ac:dyDescent="0.25">
      <c r="A3" s="152"/>
      <c r="B3" s="152"/>
      <c r="C3" s="152"/>
      <c r="D3" s="152"/>
      <c r="E3" s="152"/>
      <c r="F3" s="152"/>
      <c r="G3" s="240"/>
      <c r="H3" s="240"/>
      <c r="I3" s="240"/>
      <c r="J3" s="240"/>
    </row>
    <row r="4" spans="1:13" x14ac:dyDescent="0.25">
      <c r="A4" s="295" t="s">
        <v>1309</v>
      </c>
      <c r="B4" s="295"/>
      <c r="C4" s="295"/>
      <c r="D4" s="295"/>
      <c r="E4" s="295"/>
      <c r="F4" s="295"/>
      <c r="G4" s="295"/>
      <c r="H4" s="295"/>
      <c r="I4" s="295"/>
      <c r="J4" s="295"/>
    </row>
    <row r="5" spans="1:13" x14ac:dyDescent="0.25">
      <c r="A5" s="297" t="str">
        <f>BP!A8</f>
        <v>DO PERÍODO FINDO EM 30 DE SETEMBRO DE 2019</v>
      </c>
      <c r="B5" s="297"/>
      <c r="C5" s="297"/>
      <c r="D5" s="297"/>
      <c r="E5" s="297"/>
      <c r="F5" s="297"/>
      <c r="G5" s="297"/>
      <c r="H5" s="297"/>
      <c r="I5" s="297"/>
      <c r="J5" s="297"/>
    </row>
    <row r="6" spans="1:13" x14ac:dyDescent="0.25">
      <c r="A6" s="296" t="str">
        <f>_em</f>
        <v>(em reais)</v>
      </c>
      <c r="B6" s="296"/>
      <c r="C6" s="296"/>
      <c r="D6" s="296"/>
      <c r="E6" s="296"/>
      <c r="F6" s="296"/>
      <c r="G6" s="296"/>
      <c r="H6" s="296"/>
      <c r="I6" s="296"/>
      <c r="J6" s="296"/>
    </row>
    <row r="7" spans="1:13" s="8" customFormat="1" ht="15" customHeight="1" x14ac:dyDescent="0.25">
      <c r="K7"/>
      <c r="L7"/>
      <c r="M7"/>
    </row>
    <row r="8" spans="1:13" s="8" customFormat="1" ht="12.75" customHeight="1" x14ac:dyDescent="0.25">
      <c r="A8" s="16"/>
      <c r="B8" s="16"/>
      <c r="C8" s="16"/>
      <c r="D8" s="16"/>
      <c r="E8" s="16"/>
      <c r="F8" s="16"/>
      <c r="G8" s="165">
        <v>43738</v>
      </c>
      <c r="H8" s="16"/>
      <c r="I8" s="165">
        <v>43373</v>
      </c>
      <c r="J8" s="16"/>
      <c r="K8"/>
      <c r="L8"/>
      <c r="M8"/>
    </row>
    <row r="9" spans="1:13" s="8" customFormat="1" ht="12.75" customHeight="1" x14ac:dyDescent="0.25">
      <c r="A9" s="16"/>
      <c r="B9" s="16"/>
      <c r="C9" s="16"/>
      <c r="D9" s="16"/>
      <c r="E9" s="16"/>
      <c r="F9" s="16"/>
      <c r="G9" s="30"/>
      <c r="H9" s="16"/>
      <c r="I9" s="30"/>
      <c r="J9" s="16"/>
      <c r="K9"/>
      <c r="L9"/>
      <c r="M9"/>
    </row>
    <row r="10" spans="1:13" s="4" customFormat="1" ht="12.75" customHeight="1" x14ac:dyDescent="0.25">
      <c r="A10" s="19"/>
      <c r="B10" s="15" t="s">
        <v>1310</v>
      </c>
      <c r="C10" s="15"/>
      <c r="D10" s="15"/>
      <c r="E10" s="15"/>
      <c r="F10" s="15"/>
      <c r="G10" s="17"/>
      <c r="H10" s="15"/>
      <c r="I10" s="17"/>
      <c r="J10" s="15"/>
      <c r="K10"/>
      <c r="L10"/>
      <c r="M10"/>
    </row>
    <row r="11" spans="1:13" s="4" customFormat="1" ht="12.75" customHeight="1" x14ac:dyDescent="0.25">
      <c r="A11" s="19"/>
      <c r="B11" s="32" t="s">
        <v>1311</v>
      </c>
      <c r="C11" s="32"/>
      <c r="D11" s="32"/>
      <c r="E11" s="32"/>
      <c r="F11" s="32"/>
      <c r="G11" s="241">
        <v>173960000.05000001</v>
      </c>
      <c r="H11" s="248"/>
      <c r="I11" s="241">
        <v>155598498.75</v>
      </c>
      <c r="J11" s="32"/>
      <c r="K11"/>
      <c r="L11"/>
      <c r="M11"/>
    </row>
    <row r="12" spans="1:13" s="4" customFormat="1" ht="12.75" customHeight="1" x14ac:dyDescent="0.25">
      <c r="A12" s="19"/>
      <c r="B12" s="32" t="s">
        <v>952</v>
      </c>
      <c r="C12" s="32"/>
      <c r="D12" s="32"/>
      <c r="E12" s="32"/>
      <c r="F12" s="32"/>
      <c r="G12" s="246">
        <v>0</v>
      </c>
      <c r="H12" s="248"/>
      <c r="I12" s="246">
        <v>0</v>
      </c>
      <c r="J12" s="32"/>
      <c r="K12"/>
      <c r="L12"/>
      <c r="M12"/>
    </row>
    <row r="13" spans="1:13" s="4" customFormat="1" ht="12.75" customHeight="1" x14ac:dyDescent="0.25">
      <c r="A13" s="19"/>
      <c r="B13" s="19"/>
      <c r="C13" s="19"/>
      <c r="D13" s="19"/>
      <c r="E13" s="19"/>
      <c r="F13" s="19"/>
      <c r="G13" s="241">
        <v>173960000.05000001</v>
      </c>
      <c r="H13" s="235"/>
      <c r="I13" s="241">
        <v>155598498.75</v>
      </c>
      <c r="J13" s="19"/>
      <c r="K13"/>
      <c r="L13"/>
      <c r="M13"/>
    </row>
    <row r="14" spans="1:13" s="4" customFormat="1" ht="12.75" customHeight="1" x14ac:dyDescent="0.25">
      <c r="A14" s="19"/>
      <c r="B14" s="32" t="s">
        <v>1312</v>
      </c>
      <c r="C14" s="32"/>
      <c r="D14" s="32"/>
      <c r="E14" s="32"/>
      <c r="F14" s="32"/>
      <c r="G14" s="246">
        <v>-20689969.66</v>
      </c>
      <c r="H14" s="248"/>
      <c r="I14" s="246">
        <v>-18002144.43</v>
      </c>
      <c r="J14" s="32"/>
      <c r="K14"/>
      <c r="L14"/>
      <c r="M14"/>
    </row>
    <row r="15" spans="1:13" s="4" customFormat="1" ht="12.75" customHeight="1" x14ac:dyDescent="0.25">
      <c r="A15" s="19"/>
      <c r="B15" s="15" t="s">
        <v>1313</v>
      </c>
      <c r="C15" s="15"/>
      <c r="D15" s="15"/>
      <c r="E15" s="15"/>
      <c r="F15" s="15"/>
      <c r="G15" s="249">
        <v>153270030.39000002</v>
      </c>
      <c r="H15" s="236"/>
      <c r="I15" s="249">
        <v>137596354.31999999</v>
      </c>
      <c r="J15" s="15"/>
      <c r="K15"/>
      <c r="L15"/>
      <c r="M15"/>
    </row>
    <row r="16" spans="1:13" s="4" customFormat="1" ht="12.75" customHeight="1" x14ac:dyDescent="0.25">
      <c r="A16" s="19"/>
      <c r="B16" s="15"/>
      <c r="C16" s="15"/>
      <c r="D16" s="15"/>
      <c r="E16" s="15"/>
      <c r="F16" s="15"/>
      <c r="G16" s="241"/>
      <c r="H16" s="236"/>
      <c r="I16" s="241"/>
      <c r="J16" s="15"/>
      <c r="K16"/>
      <c r="L16"/>
      <c r="M16"/>
    </row>
    <row r="17" spans="1:13" s="4" customFormat="1" ht="12.75" customHeight="1" x14ac:dyDescent="0.25">
      <c r="A17" s="19"/>
      <c r="B17" s="15" t="s">
        <v>2377</v>
      </c>
      <c r="C17" s="15"/>
      <c r="D17" s="15"/>
      <c r="E17" s="15"/>
      <c r="F17" s="15"/>
      <c r="G17" s="241"/>
      <c r="H17" s="236"/>
      <c r="I17" s="241"/>
      <c r="J17" s="15"/>
      <c r="K17"/>
      <c r="L17"/>
      <c r="M17"/>
    </row>
    <row r="18" spans="1:13" s="4" customFormat="1" ht="12.75" customHeight="1" x14ac:dyDescent="0.25">
      <c r="A18" s="19"/>
      <c r="B18" s="32" t="s">
        <v>2378</v>
      </c>
      <c r="C18" s="15"/>
      <c r="D18" s="15"/>
      <c r="E18" s="15"/>
      <c r="F18" s="15"/>
      <c r="G18" s="241">
        <v>-46156658.509999998</v>
      </c>
      <c r="H18" s="236"/>
      <c r="I18" s="241">
        <v>-38104698.590000004</v>
      </c>
      <c r="J18" s="15"/>
      <c r="K18"/>
      <c r="L18"/>
      <c r="M18"/>
    </row>
    <row r="19" spans="1:13" s="4" customFormat="1" ht="12.75" customHeight="1" x14ac:dyDescent="0.25">
      <c r="A19" s="19"/>
      <c r="B19" s="32" t="s">
        <v>2379</v>
      </c>
      <c r="C19" s="15"/>
      <c r="D19" s="15"/>
      <c r="E19" s="15"/>
      <c r="F19" s="15"/>
      <c r="G19" s="241">
        <v>-17944665.25</v>
      </c>
      <c r="H19" s="236"/>
      <c r="I19" s="241">
        <v>-13856853.08</v>
      </c>
      <c r="J19" s="15"/>
      <c r="K19"/>
      <c r="L19"/>
      <c r="M19"/>
    </row>
    <row r="20" spans="1:13" s="4" customFormat="1" ht="12.75" customHeight="1" x14ac:dyDescent="0.25">
      <c r="A20" s="19"/>
      <c r="B20" s="32" t="s">
        <v>2380</v>
      </c>
      <c r="C20" s="15"/>
      <c r="D20" s="15"/>
      <c r="E20" s="15"/>
      <c r="F20" s="15"/>
      <c r="G20" s="241">
        <v>-3432846.48</v>
      </c>
      <c r="H20" s="236"/>
      <c r="I20" s="241">
        <v>-2822272.7</v>
      </c>
      <c r="J20" s="15"/>
      <c r="K20"/>
      <c r="L20"/>
      <c r="M20"/>
    </row>
    <row r="21" spans="1:13" s="4" customFormat="1" ht="12.75" customHeight="1" x14ac:dyDescent="0.25">
      <c r="A21" s="19"/>
      <c r="B21" s="32" t="s">
        <v>2381</v>
      </c>
      <c r="C21" s="15"/>
      <c r="D21" s="15"/>
      <c r="E21" s="15"/>
      <c r="F21" s="15"/>
      <c r="G21" s="241">
        <v>-10987435.93</v>
      </c>
      <c r="H21" s="236"/>
      <c r="I21" s="241">
        <v>-12689359.33</v>
      </c>
      <c r="J21" s="15"/>
      <c r="K21"/>
      <c r="L21"/>
      <c r="M21"/>
    </row>
    <row r="22" spans="1:13" s="4" customFormat="1" ht="12.75" customHeight="1" x14ac:dyDescent="0.25">
      <c r="A22" s="19"/>
      <c r="B22" s="32" t="s">
        <v>2382</v>
      </c>
      <c r="C22" s="15"/>
      <c r="D22" s="15"/>
      <c r="E22" s="15"/>
      <c r="F22" s="15"/>
      <c r="G22" s="241">
        <v>-632959.25</v>
      </c>
      <c r="H22" s="236"/>
      <c r="I22" s="241">
        <v>-264359.83</v>
      </c>
      <c r="J22" s="15"/>
      <c r="K22"/>
      <c r="L22"/>
      <c r="M22"/>
    </row>
    <row r="23" spans="1:13" s="4" customFormat="1" ht="12.75" customHeight="1" x14ac:dyDescent="0.25">
      <c r="A23" s="19"/>
      <c r="B23" s="19"/>
      <c r="C23" s="15"/>
      <c r="D23" s="15"/>
      <c r="E23" s="15"/>
      <c r="F23" s="15"/>
      <c r="G23" s="250">
        <v>-79154565.419999987</v>
      </c>
      <c r="H23" s="236"/>
      <c r="I23" s="250">
        <v>-67737543.530000001</v>
      </c>
      <c r="J23" s="15"/>
      <c r="K23"/>
      <c r="L23"/>
      <c r="M23"/>
    </row>
    <row r="24" spans="1:13" s="4" customFormat="1" ht="12.75" customHeight="1" x14ac:dyDescent="0.25">
      <c r="A24" s="19"/>
      <c r="B24" s="15" t="s">
        <v>2372</v>
      </c>
      <c r="C24" s="15"/>
      <c r="D24" s="15"/>
      <c r="E24" s="15"/>
      <c r="F24" s="15"/>
      <c r="G24" s="249">
        <v>74115464.970000029</v>
      </c>
      <c r="H24" s="236"/>
      <c r="I24" s="249">
        <v>69858810.789999992</v>
      </c>
      <c r="J24" s="15"/>
      <c r="K24"/>
      <c r="L24"/>
      <c r="M24"/>
    </row>
    <row r="25" spans="1:13" s="4" customFormat="1" ht="12.75" customHeight="1" x14ac:dyDescent="0.25">
      <c r="A25" s="19"/>
      <c r="B25" s="15"/>
      <c r="C25" s="15"/>
      <c r="D25" s="15"/>
      <c r="E25" s="15"/>
      <c r="F25" s="15"/>
      <c r="G25" s="251"/>
      <c r="H25" s="236"/>
      <c r="I25" s="251"/>
      <c r="J25" s="15"/>
      <c r="K25"/>
      <c r="L25"/>
      <c r="M25"/>
    </row>
    <row r="26" spans="1:13" s="4" customFormat="1" ht="12.75" customHeight="1" x14ac:dyDescent="0.25">
      <c r="A26" s="19"/>
      <c r="B26" s="15" t="s">
        <v>1314</v>
      </c>
      <c r="C26" s="15"/>
      <c r="D26" s="15"/>
      <c r="E26" s="15"/>
      <c r="F26" s="15"/>
      <c r="G26" s="241"/>
      <c r="H26" s="236"/>
      <c r="I26" s="241"/>
      <c r="J26" s="15"/>
      <c r="K26"/>
      <c r="L26"/>
      <c r="M26"/>
    </row>
    <row r="27" spans="1:13" s="4" customFormat="1" ht="12.75" hidden="1" customHeight="1" x14ac:dyDescent="0.25">
      <c r="A27" s="19"/>
      <c r="B27" s="32" t="s">
        <v>1315</v>
      </c>
      <c r="C27" s="32"/>
      <c r="D27" s="32"/>
      <c r="E27" s="32"/>
      <c r="F27" s="32"/>
      <c r="G27" s="241">
        <v>0</v>
      </c>
      <c r="H27" s="248"/>
      <c r="I27" s="241">
        <v>0</v>
      </c>
      <c r="J27" s="32"/>
      <c r="K27"/>
      <c r="L27"/>
      <c r="M27"/>
    </row>
    <row r="28" spans="1:13" s="4" customFormat="1" ht="12.75" customHeight="1" x14ac:dyDescent="0.25">
      <c r="A28" s="19"/>
      <c r="B28" s="32" t="s">
        <v>1316</v>
      </c>
      <c r="C28" s="32"/>
      <c r="D28" s="32"/>
      <c r="E28" s="32"/>
      <c r="F28" s="32"/>
      <c r="G28" s="241">
        <v>-121743.33</v>
      </c>
      <c r="H28" s="248"/>
      <c r="I28" s="241">
        <v>-696972.11</v>
      </c>
      <c r="J28" s="32"/>
      <c r="K28"/>
      <c r="L28"/>
      <c r="M28"/>
    </row>
    <row r="29" spans="1:13" s="4" customFormat="1" ht="12.75" customHeight="1" x14ac:dyDescent="0.25">
      <c r="A29" s="19"/>
      <c r="B29" s="32" t="s">
        <v>1317</v>
      </c>
      <c r="C29" s="32"/>
      <c r="D29" s="32"/>
      <c r="E29" s="32"/>
      <c r="F29" s="32"/>
      <c r="G29" s="241">
        <v>-21050938.27</v>
      </c>
      <c r="H29" s="248"/>
      <c r="I29" s="241">
        <v>-12508197</v>
      </c>
      <c r="J29" s="32"/>
      <c r="K29"/>
      <c r="L29"/>
      <c r="M29"/>
    </row>
    <row r="30" spans="1:13" s="4" customFormat="1" ht="12.75" customHeight="1" x14ac:dyDescent="0.25">
      <c r="A30" s="19"/>
      <c r="B30" s="32" t="s">
        <v>1318</v>
      </c>
      <c r="C30" s="32"/>
      <c r="D30" s="32"/>
      <c r="E30" s="32"/>
      <c r="F30" s="32"/>
      <c r="G30" s="241">
        <v>-645643.67000000004</v>
      </c>
      <c r="H30" s="248"/>
      <c r="I30" s="241">
        <v>-348441.83</v>
      </c>
      <c r="J30" s="32"/>
      <c r="K30"/>
      <c r="L30"/>
      <c r="M30"/>
    </row>
    <row r="31" spans="1:13" s="4" customFormat="1" ht="12.75" hidden="1" customHeight="1" x14ac:dyDescent="0.25">
      <c r="A31" s="19"/>
      <c r="B31" s="32" t="s">
        <v>1319</v>
      </c>
      <c r="C31" s="32"/>
      <c r="D31" s="32"/>
      <c r="E31" s="32"/>
      <c r="F31" s="32"/>
      <c r="G31" s="241">
        <v>0</v>
      </c>
      <c r="H31" s="248"/>
      <c r="I31" s="241">
        <v>0</v>
      </c>
      <c r="J31" s="32"/>
      <c r="K31"/>
      <c r="L31"/>
      <c r="M31"/>
    </row>
    <row r="32" spans="1:13" s="4" customFormat="1" ht="12.75" customHeight="1" x14ac:dyDescent="0.25">
      <c r="A32" s="19"/>
      <c r="B32" s="32" t="s">
        <v>1320</v>
      </c>
      <c r="C32" s="32"/>
      <c r="D32" s="32"/>
      <c r="E32" s="32"/>
      <c r="F32" s="32"/>
      <c r="G32" s="241">
        <v>-382710.78</v>
      </c>
      <c r="H32" s="248"/>
      <c r="I32" s="241">
        <v>-492059.05</v>
      </c>
      <c r="J32" s="32"/>
      <c r="K32"/>
      <c r="L32"/>
      <c r="M32"/>
    </row>
    <row r="33" spans="1:13" s="4" customFormat="1" ht="12.75" customHeight="1" x14ac:dyDescent="0.25">
      <c r="A33" s="19"/>
      <c r="B33" s="32" t="s">
        <v>1321</v>
      </c>
      <c r="C33" s="32"/>
      <c r="D33" s="32"/>
      <c r="E33" s="32"/>
      <c r="F33" s="32"/>
      <c r="G33" s="241">
        <v>-1772654.61</v>
      </c>
      <c r="H33" s="248"/>
      <c r="I33" s="241">
        <v>-1682717.89</v>
      </c>
      <c r="J33" s="32"/>
      <c r="K33"/>
      <c r="L33"/>
      <c r="M33"/>
    </row>
    <row r="34" spans="1:13" s="4" customFormat="1" ht="12.75" customHeight="1" x14ac:dyDescent="0.25">
      <c r="A34" s="19"/>
      <c r="B34" s="32"/>
      <c r="C34" s="32"/>
      <c r="D34" s="32"/>
      <c r="E34" s="32"/>
      <c r="F34" s="32"/>
      <c r="G34" s="243">
        <v>-23973690.66</v>
      </c>
      <c r="H34" s="248"/>
      <c r="I34" s="243">
        <v>-15728387.880000001</v>
      </c>
      <c r="J34" s="32"/>
      <c r="K34"/>
      <c r="L34"/>
      <c r="M34"/>
    </row>
    <row r="35" spans="1:13" s="4" customFormat="1" ht="12.75" customHeight="1" x14ac:dyDescent="0.25">
      <c r="A35" s="19"/>
      <c r="B35" s="32"/>
      <c r="C35" s="32"/>
      <c r="D35" s="32"/>
      <c r="E35" s="32"/>
      <c r="F35" s="32"/>
      <c r="G35" s="241"/>
      <c r="H35" s="248"/>
      <c r="I35" s="241"/>
      <c r="J35" s="32"/>
      <c r="K35"/>
      <c r="L35"/>
      <c r="M35"/>
    </row>
    <row r="36" spans="1:13" s="4" customFormat="1" ht="12.75" customHeight="1" x14ac:dyDescent="0.25">
      <c r="A36" s="19"/>
      <c r="B36" s="32" t="s">
        <v>1322</v>
      </c>
      <c r="C36" s="32"/>
      <c r="D36" s="32"/>
      <c r="E36" s="32"/>
      <c r="F36" s="32"/>
      <c r="G36" s="246">
        <v>247892.88</v>
      </c>
      <c r="H36" s="248"/>
      <c r="I36" s="246">
        <v>471000</v>
      </c>
      <c r="J36" s="32"/>
      <c r="K36"/>
      <c r="L36"/>
      <c r="M36"/>
    </row>
    <row r="37" spans="1:13" s="4" customFormat="1" ht="12.75" customHeight="1" x14ac:dyDescent="0.25">
      <c r="A37" s="19"/>
      <c r="B37" s="32"/>
      <c r="C37" s="32"/>
      <c r="D37" s="32"/>
      <c r="E37" s="32"/>
      <c r="F37" s="32"/>
      <c r="G37" s="241"/>
      <c r="H37" s="248"/>
      <c r="I37" s="241"/>
      <c r="J37" s="32"/>
      <c r="K37"/>
      <c r="L37"/>
      <c r="M37"/>
    </row>
    <row r="38" spans="1:13" s="4" customFormat="1" ht="12.75" customHeight="1" x14ac:dyDescent="0.25">
      <c r="A38" s="19"/>
      <c r="B38" s="15" t="s">
        <v>1323</v>
      </c>
      <c r="C38" s="15"/>
      <c r="D38" s="15"/>
      <c r="E38" s="15"/>
      <c r="F38" s="15"/>
      <c r="G38" s="235"/>
      <c r="H38" s="236"/>
      <c r="I38" s="235"/>
      <c r="J38" s="15"/>
      <c r="K38"/>
      <c r="L38"/>
      <c r="M38"/>
    </row>
    <row r="39" spans="1:13" s="4" customFormat="1" ht="12.75" customHeight="1" x14ac:dyDescent="0.25">
      <c r="A39" s="19"/>
      <c r="B39" s="15" t="s">
        <v>1324</v>
      </c>
      <c r="C39" s="15"/>
      <c r="D39" s="15"/>
      <c r="E39" s="15"/>
      <c r="F39" s="15"/>
      <c r="G39" s="236">
        <v>50389667.190000035</v>
      </c>
      <c r="H39" s="236"/>
      <c r="I39" s="236">
        <v>54601422.909999989</v>
      </c>
      <c r="J39" s="15"/>
      <c r="K39"/>
      <c r="L39"/>
      <c r="M39"/>
    </row>
    <row r="40" spans="1:13" s="4" customFormat="1" ht="12.75" customHeight="1" x14ac:dyDescent="0.25">
      <c r="A40" s="19"/>
      <c r="B40" s="150"/>
      <c r="C40" s="150"/>
      <c r="D40" s="150"/>
      <c r="E40" s="150"/>
      <c r="F40" s="150"/>
      <c r="G40" s="235"/>
      <c r="H40" s="252"/>
      <c r="I40" s="235"/>
      <c r="J40" s="150"/>
      <c r="K40"/>
      <c r="L40"/>
      <c r="M40"/>
    </row>
    <row r="41" spans="1:13" s="4" customFormat="1" ht="12.75" customHeight="1" x14ac:dyDescent="0.25">
      <c r="A41" s="19"/>
      <c r="B41" s="34" t="s">
        <v>1325</v>
      </c>
      <c r="C41" s="34"/>
      <c r="D41" s="34"/>
      <c r="E41" s="34"/>
      <c r="F41" s="34"/>
      <c r="G41" s="235"/>
      <c r="H41" s="253"/>
      <c r="I41" s="235"/>
      <c r="J41" s="34"/>
      <c r="K41"/>
      <c r="L41"/>
      <c r="M41"/>
    </row>
    <row r="42" spans="1:13" s="4" customFormat="1" ht="12.75" customHeight="1" x14ac:dyDescent="0.25">
      <c r="A42" s="19"/>
      <c r="B42" s="32" t="s">
        <v>1326</v>
      </c>
      <c r="C42" s="32"/>
      <c r="D42" s="32"/>
      <c r="E42" s="32"/>
      <c r="F42" s="32"/>
      <c r="G42" s="241">
        <v>3658194.09</v>
      </c>
      <c r="H42" s="248"/>
      <c r="I42" s="241">
        <v>3058167.91</v>
      </c>
      <c r="J42" s="32"/>
      <c r="K42"/>
      <c r="L42"/>
      <c r="M42"/>
    </row>
    <row r="43" spans="1:13" s="4" customFormat="1" ht="12.75" customHeight="1" x14ac:dyDescent="0.25">
      <c r="A43" s="19"/>
      <c r="B43" s="32" t="s">
        <v>1327</v>
      </c>
      <c r="C43" s="32"/>
      <c r="D43" s="32"/>
      <c r="E43" s="32"/>
      <c r="F43" s="32"/>
      <c r="G43" s="241">
        <v>-14352431.18</v>
      </c>
      <c r="H43" s="248"/>
      <c r="I43" s="241">
        <v>-14428780.43</v>
      </c>
      <c r="J43" s="32"/>
      <c r="K43"/>
      <c r="L43"/>
      <c r="M43"/>
    </row>
    <row r="44" spans="1:13" s="4" customFormat="1" ht="12.75" customHeight="1" x14ac:dyDescent="0.25">
      <c r="A44" s="19"/>
      <c r="B44" s="150"/>
      <c r="C44" s="150"/>
      <c r="D44" s="150"/>
      <c r="E44" s="150"/>
      <c r="F44" s="150"/>
      <c r="G44" s="250">
        <v>-10694237.09</v>
      </c>
      <c r="H44" s="252"/>
      <c r="I44" s="250">
        <v>-11370612.52</v>
      </c>
      <c r="J44" s="150"/>
      <c r="K44"/>
      <c r="L44"/>
      <c r="M44"/>
    </row>
    <row r="45" spans="1:13" s="4" customFormat="1" ht="12.75" customHeight="1" x14ac:dyDescent="0.25">
      <c r="A45" s="19"/>
      <c r="B45" s="34" t="s">
        <v>1328</v>
      </c>
      <c r="C45" s="34"/>
      <c r="D45" s="34"/>
      <c r="E45" s="34"/>
      <c r="F45" s="34"/>
      <c r="G45" s="235"/>
      <c r="H45" s="253"/>
      <c r="I45" s="235"/>
      <c r="J45" s="34"/>
      <c r="K45"/>
      <c r="L45"/>
      <c r="M45"/>
    </row>
    <row r="46" spans="1:13" s="4" customFormat="1" ht="12.75" customHeight="1" x14ac:dyDescent="0.25">
      <c r="A46" s="19"/>
      <c r="B46" s="34" t="s">
        <v>1329</v>
      </c>
      <c r="C46" s="34"/>
      <c r="D46" s="34"/>
      <c r="E46" s="34"/>
      <c r="F46" s="34"/>
      <c r="G46" s="251">
        <v>39695430.100000039</v>
      </c>
      <c r="H46" s="253"/>
      <c r="I46" s="251">
        <v>43230810.389999986</v>
      </c>
      <c r="J46" s="34"/>
      <c r="K46"/>
      <c r="L46"/>
      <c r="M46"/>
    </row>
    <row r="47" spans="1:13" s="4" customFormat="1" ht="12.75" customHeight="1" x14ac:dyDescent="0.25">
      <c r="A47" s="19"/>
      <c r="B47" s="34"/>
      <c r="C47" s="34"/>
      <c r="D47" s="34"/>
      <c r="E47" s="34"/>
      <c r="F47" s="34"/>
      <c r="G47" s="251"/>
      <c r="H47" s="253"/>
      <c r="I47" s="251"/>
      <c r="J47" s="34"/>
      <c r="K47"/>
      <c r="L47"/>
      <c r="M47"/>
    </row>
    <row r="48" spans="1:13" s="4" customFormat="1" ht="12.75" customHeight="1" x14ac:dyDescent="0.25">
      <c r="A48" s="19"/>
      <c r="B48" s="32" t="s">
        <v>1330</v>
      </c>
      <c r="C48" s="32"/>
      <c r="D48" s="32"/>
      <c r="E48" s="32"/>
      <c r="F48" s="32"/>
      <c r="G48" s="241">
        <v>-3649462.6500000004</v>
      </c>
      <c r="H48" s="248"/>
      <c r="I48" s="241">
        <v>-3803051.71</v>
      </c>
      <c r="J48" s="32"/>
      <c r="K48"/>
      <c r="L48"/>
      <c r="M48"/>
    </row>
    <row r="49" spans="1:13" s="4" customFormat="1" ht="12.75" customHeight="1" x14ac:dyDescent="0.25">
      <c r="A49" s="19"/>
      <c r="B49" s="32" t="s">
        <v>1331</v>
      </c>
      <c r="C49" s="32"/>
      <c r="D49" s="32"/>
      <c r="E49" s="32"/>
      <c r="F49" s="32"/>
      <c r="G49" s="246">
        <v>-10073576.220000001</v>
      </c>
      <c r="H49" s="248"/>
      <c r="I49" s="246">
        <v>-10546032.439999999</v>
      </c>
      <c r="J49" s="32"/>
      <c r="K49"/>
      <c r="L49"/>
      <c r="M49"/>
    </row>
    <row r="50" spans="1:13" s="4" customFormat="1" ht="5.25" customHeight="1" x14ac:dyDescent="0.25">
      <c r="A50" s="19"/>
      <c r="B50" s="32"/>
      <c r="C50" s="32"/>
      <c r="D50" s="32"/>
      <c r="E50" s="32"/>
      <c r="F50" s="32"/>
      <c r="G50" s="241"/>
      <c r="H50" s="248"/>
      <c r="I50" s="241"/>
      <c r="J50" s="32"/>
      <c r="K50"/>
      <c r="L50"/>
      <c r="M50"/>
    </row>
    <row r="51" spans="1:13" s="4" customFormat="1" ht="12.75" hidden="1" customHeight="1" x14ac:dyDescent="0.25">
      <c r="A51" s="15"/>
      <c r="B51" s="34" t="s">
        <v>1332</v>
      </c>
      <c r="C51" s="34"/>
      <c r="D51" s="34"/>
      <c r="E51" s="34"/>
      <c r="F51" s="34"/>
      <c r="G51" s="236">
        <v>25972391.230000041</v>
      </c>
      <c r="H51" s="253"/>
      <c r="I51" s="236">
        <v>28881726.239999987</v>
      </c>
      <c r="J51" s="34"/>
      <c r="K51"/>
      <c r="L51"/>
      <c r="M51"/>
    </row>
    <row r="52" spans="1:13" s="4" customFormat="1" ht="12.75" hidden="1" customHeight="1" x14ac:dyDescent="0.25">
      <c r="A52" s="15"/>
      <c r="B52" s="34"/>
      <c r="C52" s="34"/>
      <c r="D52" s="34"/>
      <c r="E52" s="34"/>
      <c r="F52" s="34"/>
      <c r="G52" s="236"/>
      <c r="H52" s="253"/>
      <c r="I52" s="236"/>
      <c r="J52" s="34"/>
      <c r="K52"/>
      <c r="L52"/>
      <c r="M52"/>
    </row>
    <row r="53" spans="1:13" ht="12" hidden="1" customHeight="1" x14ac:dyDescent="0.25">
      <c r="A53" s="16"/>
      <c r="B53" s="32" t="s">
        <v>1333</v>
      </c>
      <c r="C53" s="16"/>
      <c r="D53" s="16"/>
      <c r="E53" s="16"/>
      <c r="F53" s="16"/>
      <c r="G53" s="246">
        <v>0</v>
      </c>
      <c r="H53" s="242"/>
      <c r="I53" s="246">
        <v>0</v>
      </c>
      <c r="J53" s="16"/>
    </row>
    <row r="54" spans="1:13" hidden="1" x14ac:dyDescent="0.25">
      <c r="A54" s="16"/>
      <c r="B54" s="16"/>
      <c r="C54" s="16"/>
      <c r="D54" s="16"/>
      <c r="E54" s="16"/>
      <c r="F54" s="16"/>
      <c r="G54" s="254"/>
      <c r="H54" s="242"/>
      <c r="I54" s="254"/>
      <c r="J54" s="16"/>
    </row>
    <row r="55" spans="1:13" ht="15.75" thickBot="1" x14ac:dyDescent="0.3">
      <c r="A55" s="16"/>
      <c r="B55" s="34" t="str">
        <f>_xlfn.IFS(AND(G55&gt;0,MONTH(G8)=12),"LUCRO LÍQUIDO DO EXERCÍCIO",AND(G55&lt;0,MONTH(G8)=12),"PREJUÍZO DO EXERCÍCIO",G55&gt;0,"LUCRO LÍQUIDO DO PERÍODO",G55&lt;0,"PREJUÍZO DO PERÍODO")</f>
        <v>LUCRO LÍQUIDO DO PERÍODO</v>
      </c>
      <c r="C55" s="16"/>
      <c r="D55" s="16"/>
      <c r="E55" s="16"/>
      <c r="F55" s="16"/>
      <c r="G55" s="237">
        <v>25972391.230000041</v>
      </c>
      <c r="H55" s="242"/>
      <c r="I55" s="237">
        <v>28881726.239999987</v>
      </c>
      <c r="J55" s="16"/>
    </row>
    <row r="56" spans="1:13" ht="15.75" thickTop="1" x14ac:dyDescent="0.25">
      <c r="A56" s="16"/>
      <c r="B56" s="16"/>
      <c r="C56" s="16"/>
      <c r="D56" s="16"/>
      <c r="E56" s="16"/>
      <c r="F56" s="16"/>
      <c r="G56" s="16"/>
      <c r="H56" s="16"/>
      <c r="I56" s="30"/>
      <c r="J56" s="16"/>
    </row>
    <row r="57" spans="1:13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</row>
    <row r="58" spans="1:13" x14ac:dyDescent="0.25">
      <c r="F58" s="16"/>
      <c r="G58" s="16"/>
      <c r="H58" s="16"/>
      <c r="I58" s="16"/>
      <c r="J58" s="16"/>
    </row>
    <row r="59" spans="1:13" ht="12.95" hidden="1" customHeight="1" x14ac:dyDescent="0.25">
      <c r="A59" s="294" t="str">
        <f>BP!A50</f>
        <v>Dilermano Alves de Brito</v>
      </c>
      <c r="B59" s="294"/>
      <c r="C59" s="294"/>
      <c r="D59" s="294"/>
      <c r="E59" s="16"/>
      <c r="F59" s="16"/>
      <c r="G59" s="16"/>
      <c r="H59" s="16"/>
      <c r="I59" s="16"/>
      <c r="J59" s="16"/>
    </row>
    <row r="60" spans="1:13" ht="12.95" hidden="1" customHeight="1" x14ac:dyDescent="0.25">
      <c r="A60" s="294" t="str">
        <f>BP!A51</f>
        <v>CPF nº 027.282.864-50</v>
      </c>
      <c r="B60" s="294"/>
      <c r="C60" s="294"/>
      <c r="D60" s="294"/>
      <c r="E60" s="16"/>
      <c r="F60" s="16"/>
      <c r="G60" s="16"/>
      <c r="H60" s="16"/>
      <c r="I60" s="16"/>
      <c r="J60" s="16"/>
    </row>
    <row r="61" spans="1:13" ht="12.95" hidden="1" customHeight="1" x14ac:dyDescent="0.25">
      <c r="A61" s="294" t="str">
        <f>BP!A52</f>
        <v>Diretor Administrativo-Financeiro</v>
      </c>
      <c r="B61" s="294"/>
      <c r="C61" s="294"/>
      <c r="D61" s="294"/>
      <c r="E61" s="16"/>
      <c r="F61" s="16"/>
      <c r="G61" s="16"/>
      <c r="H61" s="16"/>
      <c r="I61" s="16"/>
      <c r="J61" s="16"/>
    </row>
    <row r="62" spans="1:13" hidden="1" x14ac:dyDescent="0.25"/>
  </sheetData>
  <mergeCells count="8">
    <mergeCell ref="A61:D61"/>
    <mergeCell ref="A1:J1"/>
    <mergeCell ref="A2:J2"/>
    <mergeCell ref="A4:J4"/>
    <mergeCell ref="A6:J6"/>
    <mergeCell ref="A5:J5"/>
    <mergeCell ref="A59:D59"/>
    <mergeCell ref="A60:D60"/>
  </mergeCells>
  <printOptions horizontalCentered="1"/>
  <pageMargins left="0.31496062992125984" right="0.31496062992125984" top="1.5748031496062993" bottom="0.98425196850393704" header="0.31496062992125984" footer="0.11811023622047245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D61"/>
  <sheetViews>
    <sheetView showGridLines="0" view="pageBreakPreview" zoomScale="120" zoomScaleNormal="120" zoomScaleSheetLayoutView="120" workbookViewId="0">
      <selection activeCell="F20" sqref="F20"/>
    </sheetView>
  </sheetViews>
  <sheetFormatPr defaultRowHeight="15" x14ac:dyDescent="0.25"/>
  <cols>
    <col min="1" max="1" width="1.7109375" customWidth="1"/>
    <col min="2" max="4" width="11.5703125" customWidth="1"/>
    <col min="5" max="5" width="9.140625" customWidth="1"/>
    <col min="6" max="6" width="10" customWidth="1"/>
    <col min="7" max="7" width="15.28515625" bestFit="1" customWidth="1"/>
    <col min="8" max="8" width="1.7109375" customWidth="1"/>
    <col min="9" max="9" width="15.28515625" bestFit="1" customWidth="1"/>
    <col min="10" max="10" width="1.7109375" hidden="1" customWidth="1"/>
    <col min="11" max="11" width="12.7109375" style="2" hidden="1" customWidth="1"/>
    <col min="12" max="12" width="1.42578125" style="2" hidden="1" customWidth="1"/>
    <col min="13" max="13" width="12.7109375" style="2" hidden="1" customWidth="1"/>
    <col min="14" max="14" width="1.42578125" style="2" customWidth="1"/>
    <col min="15" max="15" width="13" style="2" hidden="1" customWidth="1"/>
    <col min="16" max="16" width="1.42578125" style="2" hidden="1" customWidth="1"/>
    <col min="17" max="17" width="13" style="2" hidden="1" customWidth="1"/>
    <col min="18" max="18" width="1.42578125" style="2" hidden="1" customWidth="1"/>
    <col min="19" max="19" width="13" style="2" hidden="1" customWidth="1"/>
    <col min="20" max="20" width="1.7109375" style="2" hidden="1" customWidth="1"/>
    <col min="21" max="21" width="11.5703125" style="2" hidden="1" customWidth="1"/>
    <col min="22" max="22" width="1.85546875" style="2" hidden="1" customWidth="1"/>
    <col min="23" max="23" width="11.5703125" style="2" hidden="1" customWidth="1"/>
    <col min="24" max="24" width="2.7109375" style="1" hidden="1" customWidth="1"/>
    <col min="25" max="25" width="13.85546875" style="1" hidden="1" customWidth="1"/>
    <col min="26" max="26" width="13.140625" hidden="1" customWidth="1"/>
    <col min="27" max="28" width="12.28515625" hidden="1" customWidth="1"/>
    <col min="29" max="29" width="13.28515625" hidden="1" customWidth="1"/>
    <col min="30" max="30" width="12.28515625" bestFit="1" customWidth="1"/>
  </cols>
  <sheetData>
    <row r="1" spans="1:30" ht="21.75" customHeight="1" x14ac:dyDescent="0.25">
      <c r="A1" s="295" t="s">
        <v>1253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151"/>
    </row>
    <row r="2" spans="1:30" ht="23.25" customHeight="1" x14ac:dyDescent="0.25">
      <c r="A2" s="298" t="s">
        <v>2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152"/>
    </row>
    <row r="3" spans="1:30" ht="20.25" customHeight="1" x14ac:dyDescent="0.25">
      <c r="A3" s="152"/>
      <c r="B3" s="152"/>
      <c r="C3" s="152"/>
      <c r="D3" s="152"/>
      <c r="E3" s="152"/>
      <c r="F3" s="152"/>
      <c r="G3" s="240"/>
      <c r="H3" s="240"/>
      <c r="I3" s="240"/>
      <c r="J3" s="240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58"/>
      <c r="V3" s="58"/>
      <c r="W3" s="58"/>
      <c r="X3" s="58"/>
      <c r="Y3" s="58"/>
    </row>
    <row r="4" spans="1:30" x14ac:dyDescent="0.25">
      <c r="A4" s="295" t="s">
        <v>1334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151"/>
    </row>
    <row r="5" spans="1:30" x14ac:dyDescent="0.25">
      <c r="A5" s="297" t="str">
        <f>BP!A8</f>
        <v>DO PERÍODO FINDO EM 30 DE SETEMBRO DE 2019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151"/>
    </row>
    <row r="6" spans="1:30" x14ac:dyDescent="0.25">
      <c r="A6" s="296" t="str">
        <f>_em</f>
        <v>(em reais)</v>
      </c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61"/>
    </row>
    <row r="7" spans="1:30" s="8" customFormat="1" ht="12.75" customHeight="1" x14ac:dyDescent="0.2"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3"/>
      <c r="Y7" s="3"/>
    </row>
    <row r="8" spans="1:30" s="8" customFormat="1" ht="12.75" customHeight="1" x14ac:dyDescent="0.2">
      <c r="K8" s="22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3"/>
      <c r="Y8" s="3"/>
    </row>
    <row r="9" spans="1:30" s="8" customFormat="1" ht="12.75" customHeight="1" x14ac:dyDescent="0.2">
      <c r="A9" s="16"/>
      <c r="B9" s="16"/>
      <c r="C9" s="16"/>
      <c r="D9" s="16"/>
      <c r="E9" s="16"/>
      <c r="F9" s="16"/>
      <c r="G9" s="165">
        <v>43738</v>
      </c>
      <c r="H9" s="16"/>
      <c r="I9" s="165">
        <v>43373</v>
      </c>
      <c r="J9" s="16"/>
      <c r="K9" s="165">
        <f>BP!J11</f>
        <v>43465</v>
      </c>
      <c r="L9" s="30"/>
      <c r="M9" s="165">
        <f>BP!L11</f>
        <v>43373</v>
      </c>
      <c r="N9" s="30"/>
      <c r="O9" s="161" t="e">
        <f>BP!#REF!</f>
        <v>#REF!</v>
      </c>
      <c r="P9" s="30"/>
      <c r="Q9" s="161" t="e">
        <f>BP!#REF!</f>
        <v>#REF!</v>
      </c>
      <c r="R9" s="30"/>
      <c r="S9" s="161" t="e">
        <f>BP!#REF!</f>
        <v>#REF!</v>
      </c>
      <c r="T9" s="30"/>
      <c r="U9" s="161" t="e">
        <f>BP!#REF!</f>
        <v>#REF!</v>
      </c>
      <c r="V9" s="150"/>
      <c r="W9" s="161" t="e">
        <f>BP!#REF!</f>
        <v>#REF!</v>
      </c>
      <c r="X9" s="31"/>
      <c r="Y9" s="161" t="e">
        <f>BP!#REF!</f>
        <v>#REF!</v>
      </c>
      <c r="Z9" s="16"/>
      <c r="AA9" s="16"/>
      <c r="AB9" s="16"/>
    </row>
    <row r="10" spans="1:30" s="4" customFormat="1" ht="12.75" customHeight="1" x14ac:dyDescent="0.25">
      <c r="A10" s="19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 s="115" t="s">
        <v>1258</v>
      </c>
      <c r="T10"/>
      <c r="U10"/>
      <c r="V10"/>
      <c r="W10"/>
      <c r="X10"/>
      <c r="Y10"/>
      <c r="Z10"/>
      <c r="AA10"/>
      <c r="AB10"/>
      <c r="AC10"/>
      <c r="AD10"/>
    </row>
    <row r="11" spans="1:30" s="4" customFormat="1" ht="12.75" customHeight="1" x14ac:dyDescent="0.25">
      <c r="A11" s="19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</row>
    <row r="12" spans="1:30" s="4" customFormat="1" ht="12.75" customHeight="1" x14ac:dyDescent="0.25">
      <c r="A12" s="19"/>
      <c r="B12" s="34" t="str">
        <f>DRE!B55</f>
        <v>LUCRO LÍQUIDO DO PERÍODO</v>
      </c>
      <c r="C12"/>
      <c r="D12"/>
      <c r="E12"/>
      <c r="F12"/>
      <c r="G12" s="249">
        <v>25972391.230000041</v>
      </c>
      <c r="H12" s="223"/>
      <c r="I12" s="249">
        <v>28881726.239999987</v>
      </c>
      <c r="J12"/>
      <c r="K12" s="55" t="e">
        <f>DRE!#REF!</f>
        <v>#REF!</v>
      </c>
      <c r="L12" s="14"/>
      <c r="M12" s="55" t="e">
        <f>DRE!#REF!</f>
        <v>#REF!</v>
      </c>
      <c r="N12"/>
      <c r="O12" s="55" t="e">
        <f>DRE!#REF!</f>
        <v>#REF!</v>
      </c>
      <c r="P12"/>
      <c r="Q12" s="55" t="e">
        <f>DRE!#REF!</f>
        <v>#REF!</v>
      </c>
      <c r="R12"/>
      <c r="S12" s="55" t="e">
        <f>DRE!#REF!</f>
        <v>#REF!</v>
      </c>
      <c r="T12"/>
      <c r="U12" s="55" t="e">
        <f>DRE!#REF!</f>
        <v>#REF!</v>
      </c>
      <c r="V12" s="23"/>
      <c r="W12" s="55" t="e">
        <f>DRE!#REF!</f>
        <v>#REF!</v>
      </c>
      <c r="X12"/>
      <c r="Y12"/>
      <c r="Z12"/>
      <c r="AA12"/>
      <c r="AB12"/>
      <c r="AC12"/>
      <c r="AD12"/>
    </row>
    <row r="13" spans="1:30" s="4" customFormat="1" ht="12.75" customHeight="1" x14ac:dyDescent="0.25">
      <c r="A13" s="19"/>
      <c r="B13" s="32"/>
      <c r="C13"/>
      <c r="D13"/>
      <c r="E13"/>
      <c r="F13"/>
      <c r="G13" s="241"/>
      <c r="H13" s="223"/>
      <c r="I13" s="241"/>
      <c r="J13"/>
      <c r="K13" s="17"/>
      <c r="L13" s="14"/>
      <c r="M13" s="17"/>
      <c r="N13"/>
      <c r="O13" s="17"/>
      <c r="P13"/>
      <c r="Q13" s="17"/>
      <c r="R13"/>
      <c r="S13" s="17"/>
      <c r="T13"/>
      <c r="U13"/>
      <c r="V13"/>
      <c r="W13"/>
      <c r="X13"/>
      <c r="Y13"/>
      <c r="Z13"/>
      <c r="AA13"/>
      <c r="AB13"/>
      <c r="AC13"/>
      <c r="AD13"/>
    </row>
    <row r="14" spans="1:30" s="4" customFormat="1" ht="12.75" customHeight="1" thickBot="1" x14ac:dyDescent="0.3">
      <c r="A14" s="19"/>
      <c r="B14" s="20" t="s">
        <v>1335</v>
      </c>
      <c r="C14"/>
      <c r="D14"/>
      <c r="E14"/>
      <c r="F14"/>
      <c r="G14" s="241"/>
      <c r="H14" s="223"/>
      <c r="I14" s="241"/>
      <c r="J14"/>
      <c r="K14" s="17"/>
      <c r="L14" s="14"/>
      <c r="M14" s="17"/>
      <c r="N14"/>
      <c r="O14" s="17"/>
      <c r="P14"/>
      <c r="Q14" s="17"/>
      <c r="R14"/>
      <c r="S14" s="17"/>
      <c r="T14"/>
      <c r="U14"/>
      <c r="V14"/>
      <c r="W14"/>
      <c r="X14"/>
      <c r="Y14"/>
      <c r="Z14"/>
      <c r="AA14"/>
      <c r="AB14"/>
      <c r="AC14" t="s">
        <v>2387</v>
      </c>
      <c r="AD14"/>
    </row>
    <row r="15" spans="1:30" s="4" customFormat="1" ht="12.75" customHeight="1" thickBot="1" x14ac:dyDescent="0.3">
      <c r="A15" s="19"/>
      <c r="B15" s="25" t="s">
        <v>1336</v>
      </c>
      <c r="C15"/>
      <c r="D15"/>
      <c r="E15"/>
      <c r="F15"/>
      <c r="G15" s="241">
        <v>7174260.1799999997</v>
      </c>
      <c r="H15" s="223"/>
      <c r="I15" s="241">
        <v>7174260.1799999997</v>
      </c>
      <c r="J15"/>
      <c r="K15" s="17" t="e">
        <f>ROUND(SUMIFS(#REF!,#REF!,$Z15,#REF!,"&lt;=" &amp; $K$9)/_divisor,_decimos)+AC15*_arred</f>
        <v>#REF!</v>
      </c>
      <c r="L15" s="14"/>
      <c r="M15" s="17">
        <f>ROUND(9565680.24/_divisor,_decimos)</f>
        <v>9565680.2400000002</v>
      </c>
      <c r="N15"/>
      <c r="O15" s="17">
        <v>9566</v>
      </c>
      <c r="P15"/>
      <c r="Q15" s="17">
        <v>9566</v>
      </c>
      <c r="R15"/>
      <c r="S15" s="17">
        <v>0</v>
      </c>
      <c r="T15"/>
      <c r="U15"/>
      <c r="V15"/>
      <c r="W15"/>
      <c r="X15"/>
      <c r="Y15"/>
      <c r="Z15" s="180">
        <v>984</v>
      </c>
      <c r="AA15" s="175"/>
      <c r="AB15"/>
      <c r="AC15" s="181"/>
      <c r="AD15"/>
    </row>
    <row r="16" spans="1:30" s="4" customFormat="1" ht="12.75" customHeight="1" thickBot="1" x14ac:dyDescent="0.3">
      <c r="A16" s="19"/>
      <c r="B16" s="25" t="s">
        <v>1337</v>
      </c>
      <c r="C16"/>
      <c r="D16"/>
      <c r="E16"/>
      <c r="F16"/>
      <c r="G16" s="241">
        <v>-2439248.4900000002</v>
      </c>
      <c r="H16" s="223"/>
      <c r="I16" s="241">
        <v>-2439248.4900000002</v>
      </c>
      <c r="J16"/>
      <c r="K16" s="17" t="e">
        <f>ROUND(SUMIFS(#REF!,#REF!,$Z16,#REF!,"&lt;=" &amp; $K$9)/_divisor,_decimos)+ROUND(SUMIFS(#REF!,#REF!,$AA16,#REF!,"&lt;=" &amp; $K$9)/_divisor,_decimos)+AC16*_arred</f>
        <v>#REF!</v>
      </c>
      <c r="L16" s="14"/>
      <c r="M16" s="17">
        <f>ROUND(-3252331.32/_divisor,_decimos)</f>
        <v>-3252331.32</v>
      </c>
      <c r="N16"/>
      <c r="O16" s="17">
        <v>-3253</v>
      </c>
      <c r="P16"/>
      <c r="Q16" s="17">
        <v>-3252</v>
      </c>
      <c r="R16"/>
      <c r="S16" s="17">
        <v>0</v>
      </c>
      <c r="T16"/>
      <c r="U16"/>
      <c r="V16"/>
      <c r="W16"/>
      <c r="X16"/>
      <c r="Y16"/>
      <c r="Z16" s="176">
        <v>985</v>
      </c>
      <c r="AA16" s="177">
        <v>986</v>
      </c>
      <c r="AB16"/>
      <c r="AC16" s="181"/>
      <c r="AD16"/>
    </row>
    <row r="17" spans="1:30" s="4" customFormat="1" ht="12.75" customHeight="1" thickBot="1" x14ac:dyDescent="0.3">
      <c r="A17" s="19"/>
      <c r="B17" s="25" t="s">
        <v>1338</v>
      </c>
      <c r="C17"/>
      <c r="D17"/>
      <c r="E17"/>
      <c r="F17"/>
      <c r="G17" s="241">
        <v>-257500</v>
      </c>
      <c r="H17" s="223"/>
      <c r="I17" s="241">
        <v>-339000</v>
      </c>
      <c r="J17"/>
      <c r="K17" s="17" t="e">
        <f>ROUND(SUMIFS(#REF!,#REF!,$Z17,#REF!,"&lt;=" &amp; $K$9)/_divisor,_decimos)+AC17*_arred</f>
        <v>#REF!</v>
      </c>
      <c r="L17" s="14"/>
      <c r="M17" s="17">
        <f>ROUND(-461500/_divisor,_decimos)</f>
        <v>-461500</v>
      </c>
      <c r="N17"/>
      <c r="O17" s="17">
        <v>-476</v>
      </c>
      <c r="P17"/>
      <c r="Q17" s="17">
        <v>-457</v>
      </c>
      <c r="R17"/>
      <c r="S17" s="17">
        <v>-511</v>
      </c>
      <c r="T17"/>
      <c r="U17"/>
      <c r="V17"/>
      <c r="W17"/>
      <c r="X17"/>
      <c r="Y17"/>
      <c r="Z17" s="178">
        <v>973</v>
      </c>
      <c r="AA17" s="179"/>
      <c r="AB17"/>
      <c r="AC17" s="181"/>
      <c r="AD17"/>
    </row>
    <row r="18" spans="1:30" s="4" customFormat="1" ht="12.75" customHeight="1" x14ac:dyDescent="0.25">
      <c r="A18" s="19"/>
      <c r="B18" s="20" t="s">
        <v>1339</v>
      </c>
      <c r="C18"/>
      <c r="D18"/>
      <c r="E18"/>
      <c r="F18"/>
      <c r="G18" s="243">
        <v>4477511.6899999995</v>
      </c>
      <c r="H18" s="223"/>
      <c r="I18" s="243">
        <v>4396011.6899999995</v>
      </c>
      <c r="J18"/>
      <c r="K18" s="24" t="e">
        <f>SUM(K15:K17)</f>
        <v>#REF!</v>
      </c>
      <c r="L18" s="14"/>
      <c r="M18" s="24">
        <f>SUM(M15:M17)</f>
        <v>5851848.9199999999</v>
      </c>
      <c r="N18"/>
      <c r="O18" s="24">
        <f>SUM(O15:O17)</f>
        <v>5837</v>
      </c>
      <c r="P18"/>
      <c r="Q18" s="24">
        <f>SUM(Q15:Q17)</f>
        <v>5857</v>
      </c>
      <c r="R18"/>
      <c r="S18" s="24">
        <f>SUM(S15:S17)</f>
        <v>-511</v>
      </c>
      <c r="T18"/>
      <c r="U18"/>
      <c r="V18"/>
      <c r="W18"/>
      <c r="X18"/>
      <c r="Y18"/>
      <c r="Z18"/>
      <c r="AA18"/>
      <c r="AB18"/>
      <c r="AC18"/>
      <c r="AD18"/>
    </row>
    <row r="19" spans="1:30" s="4" customFormat="1" ht="12.75" customHeight="1" x14ac:dyDescent="0.25">
      <c r="A19" s="19"/>
      <c r="B19" s="32"/>
      <c r="C19"/>
      <c r="D19"/>
      <c r="E19"/>
      <c r="F19"/>
      <c r="G19" s="241"/>
      <c r="H19" s="223"/>
      <c r="I19" s="241"/>
      <c r="J19"/>
      <c r="K19" s="17"/>
      <c r="L19" s="14"/>
      <c r="M19" s="17"/>
      <c r="N19"/>
      <c r="O19" s="17"/>
      <c r="P19"/>
      <c r="Q19" s="17"/>
      <c r="R19"/>
      <c r="S19" s="17"/>
      <c r="T19"/>
      <c r="U19"/>
      <c r="V19"/>
      <c r="W19"/>
      <c r="X19"/>
      <c r="Y19"/>
      <c r="Z19"/>
      <c r="AA19"/>
      <c r="AB19"/>
      <c r="AC19"/>
      <c r="AD19"/>
    </row>
    <row r="20" spans="1:30" s="4" customFormat="1" ht="12.75" customHeight="1" thickBot="1" x14ac:dyDescent="0.3">
      <c r="A20" s="19"/>
      <c r="B20" s="34" t="s">
        <v>2449</v>
      </c>
      <c r="C20"/>
      <c r="D20"/>
      <c r="E20"/>
      <c r="F20"/>
      <c r="G20" s="245">
        <v>30449902.920000039</v>
      </c>
      <c r="H20" s="223"/>
      <c r="I20" s="245">
        <v>33277737.929999985</v>
      </c>
      <c r="J20"/>
      <c r="K20" s="28" t="e">
        <f>K12+K18</f>
        <v>#REF!</v>
      </c>
      <c r="L20" s="14"/>
      <c r="M20" s="28" t="e">
        <f>M12+M18</f>
        <v>#REF!</v>
      </c>
      <c r="N20"/>
      <c r="O20" s="28" t="e">
        <f>O12+O18</f>
        <v>#REF!</v>
      </c>
      <c r="P20"/>
      <c r="Q20" s="28" t="e">
        <f>Q12+Q18</f>
        <v>#REF!</v>
      </c>
      <c r="R20"/>
      <c r="S20" s="28" t="e">
        <f>S12+S18</f>
        <v>#REF!</v>
      </c>
      <c r="T20"/>
      <c r="U20" s="28" t="e">
        <f>U12</f>
        <v>#REF!</v>
      </c>
      <c r="V20" s="23"/>
      <c r="W20" s="28" t="e">
        <f>W12</f>
        <v>#REF!</v>
      </c>
      <c r="X20"/>
      <c r="Y20"/>
      <c r="Z20"/>
      <c r="AA20"/>
      <c r="AB20"/>
      <c r="AC20"/>
      <c r="AD20"/>
    </row>
    <row r="21" spans="1:30" s="4" customFormat="1" ht="12.75" customHeight="1" thickTop="1" x14ac:dyDescent="0.25">
      <c r="A21" s="19"/>
      <c r="B21" s="32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</row>
    <row r="22" spans="1:30" s="4" customFormat="1" ht="6.75" customHeight="1" x14ac:dyDescent="0.25">
      <c r="A22" s="19"/>
      <c r="B22" s="3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</row>
    <row r="23" spans="1:30" s="4" customFormat="1" ht="12.75" customHeight="1" x14ac:dyDescent="0.25">
      <c r="A23" s="19"/>
      <c r="B23" s="32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</row>
    <row r="24" spans="1:30" s="4" customFormat="1" ht="12.75" customHeight="1" x14ac:dyDescent="0.25">
      <c r="A24" s="19"/>
      <c r="B24" s="32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</row>
    <row r="25" spans="1:30" s="4" customFormat="1" ht="12.75" customHeight="1" x14ac:dyDescent="0.25">
      <c r="A25" s="19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</row>
    <row r="26" spans="1:30" ht="12.95" hidden="1" customHeight="1" x14ac:dyDescent="0.25">
      <c r="A26" s="294" t="str">
        <f>BP!A50</f>
        <v>Dilermano Alves de Brito</v>
      </c>
      <c r="B26" s="294"/>
      <c r="C26" s="294"/>
      <c r="D26" s="294"/>
      <c r="E26" s="16"/>
      <c r="F26" s="16"/>
      <c r="G26" s="16"/>
      <c r="H26" s="16"/>
      <c r="I26" s="16"/>
      <c r="J26" s="16"/>
      <c r="K26" s="294" t="str">
        <f>BP!J50</f>
        <v>Glauber Ramos Oliveira de Assis</v>
      </c>
      <c r="L26" s="294"/>
      <c r="M26" s="294"/>
      <c r="N26"/>
      <c r="O26"/>
      <c r="P26"/>
      <c r="Q26"/>
      <c r="R26"/>
      <c r="S26"/>
      <c r="T26"/>
      <c r="U26"/>
      <c r="V26"/>
      <c r="W26"/>
      <c r="X26"/>
      <c r="Y26"/>
    </row>
    <row r="27" spans="1:30" ht="12.95" hidden="1" customHeight="1" x14ac:dyDescent="0.25">
      <c r="A27" s="294" t="str">
        <f>BP!A51</f>
        <v>CPF nº 027.282.864-50</v>
      </c>
      <c r="B27" s="294"/>
      <c r="C27" s="294"/>
      <c r="D27" s="294"/>
      <c r="E27" s="16"/>
      <c r="F27" s="16"/>
      <c r="G27" s="16"/>
      <c r="H27" s="16"/>
      <c r="I27" s="16"/>
      <c r="J27" s="16"/>
      <c r="K27" s="294" t="str">
        <f>BP!J51</f>
        <v>CPF nº 027.784.974-80</v>
      </c>
      <c r="L27" s="294"/>
      <c r="M27" s="294"/>
      <c r="N27"/>
      <c r="O27"/>
      <c r="P27"/>
      <c r="Q27"/>
      <c r="R27"/>
      <c r="S27"/>
      <c r="T27"/>
      <c r="U27"/>
      <c r="V27"/>
      <c r="W27"/>
      <c r="X27"/>
      <c r="Y27"/>
    </row>
    <row r="28" spans="1:30" ht="12.95" hidden="1" customHeight="1" x14ac:dyDescent="0.25">
      <c r="A28" s="294" t="str">
        <f>BP!A52</f>
        <v>Diretor Administrativo-Financeiro</v>
      </c>
      <c r="B28" s="294"/>
      <c r="C28" s="294"/>
      <c r="D28" s="294"/>
      <c r="E28" s="16"/>
      <c r="F28" s="16"/>
      <c r="G28" s="16"/>
      <c r="H28" s="16"/>
      <c r="I28" s="16"/>
      <c r="J28" s="16"/>
      <c r="K28" s="294" t="str">
        <f>BP!J52</f>
        <v>Contador CRC/PE 017099/O-9</v>
      </c>
      <c r="L28" s="294"/>
      <c r="M28" s="294"/>
      <c r="N28"/>
      <c r="O28"/>
      <c r="P28"/>
      <c r="Q28"/>
      <c r="R28"/>
      <c r="S28"/>
      <c r="T28"/>
      <c r="U28"/>
      <c r="V28"/>
      <c r="W28"/>
      <c r="X28"/>
      <c r="Y28"/>
    </row>
    <row r="29" spans="1:30" s="4" customFormat="1" ht="12.75" customHeigh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</row>
    <row r="30" spans="1:30" s="4" customFormat="1" ht="12.75" customHeigh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</row>
    <row r="31" spans="1:30" s="4" customFormat="1" ht="12.75" customHeight="1" x14ac:dyDescent="0.25">
      <c r="A31" s="19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</row>
    <row r="32" spans="1:30" s="4" customFormat="1" ht="12.75" customHeight="1" x14ac:dyDescent="0.25">
      <c r="A32" s="19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</row>
    <row r="33" spans="1:30" s="4" customFormat="1" ht="12.75" customHeight="1" x14ac:dyDescent="0.25">
      <c r="A33" s="19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</row>
    <row r="34" spans="1:30" s="4" customFormat="1" ht="12.75" customHeight="1" x14ac:dyDescent="0.25">
      <c r="A34" s="19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</row>
    <row r="35" spans="1:30" s="4" customFormat="1" ht="12.75" customHeight="1" x14ac:dyDescent="0.25">
      <c r="A35" s="19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</row>
    <row r="36" spans="1:30" s="4" customFormat="1" ht="12.75" customHeight="1" x14ac:dyDescent="0.25">
      <c r="A36" s="19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</row>
    <row r="37" spans="1:30" s="4" customFormat="1" ht="12.75" customHeight="1" x14ac:dyDescent="0.25">
      <c r="A37" s="19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</row>
    <row r="38" spans="1:30" s="4" customFormat="1" ht="12.75" customHeight="1" x14ac:dyDescent="0.25">
      <c r="A38" s="19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</row>
    <row r="39" spans="1:30" s="4" customFormat="1" ht="12.75" customHeight="1" x14ac:dyDescent="0.25">
      <c r="A39" s="1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</row>
    <row r="40" spans="1:30" s="4" customFormat="1" ht="12.75" customHeight="1" x14ac:dyDescent="0.25">
      <c r="A40" s="19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</row>
    <row r="41" spans="1:30" s="4" customFormat="1" ht="12.75" customHeight="1" x14ac:dyDescent="0.25">
      <c r="A41" s="1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</row>
    <row r="42" spans="1:30" s="4" customFormat="1" ht="12.75" customHeight="1" x14ac:dyDescent="0.25">
      <c r="A42" s="1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</row>
    <row r="43" spans="1:30" s="4" customFormat="1" ht="12.75" customHeight="1" x14ac:dyDescent="0.25">
      <c r="A43" s="1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</row>
    <row r="44" spans="1:30" s="4" customFormat="1" ht="12.75" customHeight="1" x14ac:dyDescent="0.25">
      <c r="A44" s="1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</row>
    <row r="45" spans="1:30" s="4" customFormat="1" ht="12.75" customHeight="1" x14ac:dyDescent="0.25">
      <c r="A45" s="1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</row>
    <row r="46" spans="1:30" s="4" customFormat="1" ht="12.75" customHeight="1" x14ac:dyDescent="0.25">
      <c r="A46" s="1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</row>
    <row r="47" spans="1:30" s="4" customFormat="1" ht="12.75" customHeight="1" x14ac:dyDescent="0.25">
      <c r="A47" s="15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4" customFormat="1" ht="12.75" customHeight="1" x14ac:dyDescent="0.25">
      <c r="A48" s="15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</row>
    <row r="49" spans="1:25" ht="12" customHeight="1" x14ac:dyDescent="0.25">
      <c r="A49" s="16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5">
      <c r="A50" s="16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5">
      <c r="A51" s="16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5">
      <c r="A52" s="16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5">
      <c r="A53" s="16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5">
      <c r="A54" s="16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5">
      <c r="A55" s="16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ht="12.95" customHeight="1" x14ac:dyDescent="0.25">
      <c r="A56" s="1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ht="12.95" customHeight="1" x14ac:dyDescent="0.25">
      <c r="A57" s="16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ht="12.95" customHeight="1" x14ac:dyDescent="0.25">
      <c r="A58" s="16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5">
      <c r="A59" s="16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5">
      <c r="A60" s="16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5">
      <c r="A61" s="16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</sheetData>
  <mergeCells count="11">
    <mergeCell ref="K28:M28"/>
    <mergeCell ref="K27:M27"/>
    <mergeCell ref="K26:M26"/>
    <mergeCell ref="A1:X1"/>
    <mergeCell ref="A2:X2"/>
    <mergeCell ref="A4:X4"/>
    <mergeCell ref="A5:X5"/>
    <mergeCell ref="A6:X6"/>
    <mergeCell ref="A26:D26"/>
    <mergeCell ref="A27:D27"/>
    <mergeCell ref="A28:D28"/>
  </mergeCells>
  <printOptions horizontalCentered="1"/>
  <pageMargins left="0.31496062992125984" right="0.31496062992125984" top="1.5748031496062993" bottom="0.98425196850393704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004"/>
  <sheetViews>
    <sheetView zoomScale="80" zoomScaleNormal="80" workbookViewId="0">
      <pane ySplit="4" topLeftCell="A197" activePane="bottomLeft" state="frozen"/>
      <selection activeCell="B750" sqref="B750:D750"/>
      <selection pane="bottomLeft" activeCell="B750" sqref="B750:D750"/>
    </sheetView>
  </sheetViews>
  <sheetFormatPr defaultRowHeight="15" x14ac:dyDescent="0.25"/>
  <cols>
    <col min="1" max="1" width="17.28515625" bestFit="1" customWidth="1"/>
    <col min="2" max="2" width="10.5703125" bestFit="1" customWidth="1"/>
    <col min="3" max="3" width="43.85546875" bestFit="1" customWidth="1"/>
    <col min="4" max="4" width="17.28515625" bestFit="1" customWidth="1"/>
    <col min="5" max="5" width="2.140625" bestFit="1" customWidth="1"/>
    <col min="6" max="6" width="17.28515625" bestFit="1" customWidth="1"/>
    <col min="7" max="7" width="2.42578125" bestFit="1" customWidth="1"/>
    <col min="8" max="8" width="17.28515625" bestFit="1" customWidth="1"/>
    <col min="9" max="9" width="2.7109375" bestFit="1" customWidth="1"/>
    <col min="10" max="10" width="17.85546875" bestFit="1" customWidth="1"/>
    <col min="11" max="11" width="2.42578125" bestFit="1" customWidth="1"/>
    <col min="12" max="12" width="20" customWidth="1"/>
    <col min="13" max="13" width="3.5703125" style="5" customWidth="1"/>
    <col min="14" max="14" width="26.7109375" style="6" bestFit="1" customWidth="1"/>
    <col min="15" max="15" width="3" style="5" customWidth="1"/>
    <col min="16" max="16" width="26.7109375" style="6" bestFit="1" customWidth="1"/>
    <col min="17" max="257" width="9.140625" style="5"/>
    <col min="258" max="258" width="14.42578125" style="5" bestFit="1" customWidth="1"/>
    <col min="259" max="259" width="8.7109375" style="5" bestFit="1" customWidth="1"/>
    <col min="260" max="260" width="36.7109375" style="5" bestFit="1" customWidth="1"/>
    <col min="261" max="261" width="15" style="5" bestFit="1" customWidth="1"/>
    <col min="262" max="262" width="5.140625" style="5" bestFit="1" customWidth="1"/>
    <col min="263" max="263" width="15" style="5" bestFit="1" customWidth="1"/>
    <col min="264" max="264" width="5.140625" style="5" bestFit="1" customWidth="1"/>
    <col min="265" max="265" width="15" style="5" bestFit="1" customWidth="1"/>
    <col min="266" max="266" width="5.140625" style="5" bestFit="1" customWidth="1"/>
    <col min="267" max="267" width="15" style="5" bestFit="1" customWidth="1"/>
    <col min="268" max="268" width="2.140625" style="5" bestFit="1" customWidth="1"/>
    <col min="269" max="269" width="9.140625" style="5"/>
    <col min="270" max="270" width="11.140625" style="5" bestFit="1" customWidth="1"/>
    <col min="271" max="513" width="9.140625" style="5"/>
    <col min="514" max="514" width="14.42578125" style="5" bestFit="1" customWidth="1"/>
    <col min="515" max="515" width="8.7109375" style="5" bestFit="1" customWidth="1"/>
    <col min="516" max="516" width="36.7109375" style="5" bestFit="1" customWidth="1"/>
    <col min="517" max="517" width="15" style="5" bestFit="1" customWidth="1"/>
    <col min="518" max="518" width="5.140625" style="5" bestFit="1" customWidth="1"/>
    <col min="519" max="519" width="15" style="5" bestFit="1" customWidth="1"/>
    <col min="520" max="520" width="5.140625" style="5" bestFit="1" customWidth="1"/>
    <col min="521" max="521" width="15" style="5" bestFit="1" customWidth="1"/>
    <col min="522" max="522" width="5.140625" style="5" bestFit="1" customWidth="1"/>
    <col min="523" max="523" width="15" style="5" bestFit="1" customWidth="1"/>
    <col min="524" max="524" width="2.140625" style="5" bestFit="1" customWidth="1"/>
    <col min="525" max="525" width="9.140625" style="5"/>
    <col min="526" max="526" width="11.140625" style="5" bestFit="1" customWidth="1"/>
    <col min="527" max="769" width="9.140625" style="5"/>
    <col min="770" max="770" width="14.42578125" style="5" bestFit="1" customWidth="1"/>
    <col min="771" max="771" width="8.7109375" style="5" bestFit="1" customWidth="1"/>
    <col min="772" max="772" width="36.7109375" style="5" bestFit="1" customWidth="1"/>
    <col min="773" max="773" width="15" style="5" bestFit="1" customWidth="1"/>
    <col min="774" max="774" width="5.140625" style="5" bestFit="1" customWidth="1"/>
    <col min="775" max="775" width="15" style="5" bestFit="1" customWidth="1"/>
    <col min="776" max="776" width="5.140625" style="5" bestFit="1" customWidth="1"/>
    <col min="777" max="777" width="15" style="5" bestFit="1" customWidth="1"/>
    <col min="778" max="778" width="5.140625" style="5" bestFit="1" customWidth="1"/>
    <col min="779" max="779" width="15" style="5" bestFit="1" customWidth="1"/>
    <col min="780" max="780" width="2.140625" style="5" bestFit="1" customWidth="1"/>
    <col min="781" max="781" width="9.140625" style="5"/>
    <col min="782" max="782" width="11.140625" style="5" bestFit="1" customWidth="1"/>
    <col min="783" max="1025" width="9.140625" style="5"/>
    <col min="1026" max="1026" width="14.42578125" style="5" bestFit="1" customWidth="1"/>
    <col min="1027" max="1027" width="8.7109375" style="5" bestFit="1" customWidth="1"/>
    <col min="1028" max="1028" width="36.7109375" style="5" bestFit="1" customWidth="1"/>
    <col min="1029" max="1029" width="15" style="5" bestFit="1" customWidth="1"/>
    <col min="1030" max="1030" width="5.140625" style="5" bestFit="1" customWidth="1"/>
    <col min="1031" max="1031" width="15" style="5" bestFit="1" customWidth="1"/>
    <col min="1032" max="1032" width="5.140625" style="5" bestFit="1" customWidth="1"/>
    <col min="1033" max="1033" width="15" style="5" bestFit="1" customWidth="1"/>
    <col min="1034" max="1034" width="5.140625" style="5" bestFit="1" customWidth="1"/>
    <col min="1035" max="1035" width="15" style="5" bestFit="1" customWidth="1"/>
    <col min="1036" max="1036" width="2.140625" style="5" bestFit="1" customWidth="1"/>
    <col min="1037" max="1037" width="9.140625" style="5"/>
    <col min="1038" max="1038" width="11.140625" style="5" bestFit="1" customWidth="1"/>
    <col min="1039" max="1281" width="9.140625" style="5"/>
    <col min="1282" max="1282" width="14.42578125" style="5" bestFit="1" customWidth="1"/>
    <col min="1283" max="1283" width="8.7109375" style="5" bestFit="1" customWidth="1"/>
    <col min="1284" max="1284" width="36.7109375" style="5" bestFit="1" customWidth="1"/>
    <col min="1285" max="1285" width="15" style="5" bestFit="1" customWidth="1"/>
    <col min="1286" max="1286" width="5.140625" style="5" bestFit="1" customWidth="1"/>
    <col min="1287" max="1287" width="15" style="5" bestFit="1" customWidth="1"/>
    <col min="1288" max="1288" width="5.140625" style="5" bestFit="1" customWidth="1"/>
    <col min="1289" max="1289" width="15" style="5" bestFit="1" customWidth="1"/>
    <col min="1290" max="1290" width="5.140625" style="5" bestFit="1" customWidth="1"/>
    <col min="1291" max="1291" width="15" style="5" bestFit="1" customWidth="1"/>
    <col min="1292" max="1292" width="2.140625" style="5" bestFit="1" customWidth="1"/>
    <col min="1293" max="1293" width="9.140625" style="5"/>
    <col min="1294" max="1294" width="11.140625" style="5" bestFit="1" customWidth="1"/>
    <col min="1295" max="1537" width="9.140625" style="5"/>
    <col min="1538" max="1538" width="14.42578125" style="5" bestFit="1" customWidth="1"/>
    <col min="1539" max="1539" width="8.7109375" style="5" bestFit="1" customWidth="1"/>
    <col min="1540" max="1540" width="36.7109375" style="5" bestFit="1" customWidth="1"/>
    <col min="1541" max="1541" width="15" style="5" bestFit="1" customWidth="1"/>
    <col min="1542" max="1542" width="5.140625" style="5" bestFit="1" customWidth="1"/>
    <col min="1543" max="1543" width="15" style="5" bestFit="1" customWidth="1"/>
    <col min="1544" max="1544" width="5.140625" style="5" bestFit="1" customWidth="1"/>
    <col min="1545" max="1545" width="15" style="5" bestFit="1" customWidth="1"/>
    <col min="1546" max="1546" width="5.140625" style="5" bestFit="1" customWidth="1"/>
    <col min="1547" max="1547" width="15" style="5" bestFit="1" customWidth="1"/>
    <col min="1548" max="1548" width="2.140625" style="5" bestFit="1" customWidth="1"/>
    <col min="1549" max="1549" width="9.140625" style="5"/>
    <col min="1550" max="1550" width="11.140625" style="5" bestFit="1" customWidth="1"/>
    <col min="1551" max="1793" width="9.140625" style="5"/>
    <col min="1794" max="1794" width="14.42578125" style="5" bestFit="1" customWidth="1"/>
    <col min="1795" max="1795" width="8.7109375" style="5" bestFit="1" customWidth="1"/>
    <col min="1796" max="1796" width="36.7109375" style="5" bestFit="1" customWidth="1"/>
    <col min="1797" max="1797" width="15" style="5" bestFit="1" customWidth="1"/>
    <col min="1798" max="1798" width="5.140625" style="5" bestFit="1" customWidth="1"/>
    <col min="1799" max="1799" width="15" style="5" bestFit="1" customWidth="1"/>
    <col min="1800" max="1800" width="5.140625" style="5" bestFit="1" customWidth="1"/>
    <col min="1801" max="1801" width="15" style="5" bestFit="1" customWidth="1"/>
    <col min="1802" max="1802" width="5.140625" style="5" bestFit="1" customWidth="1"/>
    <col min="1803" max="1803" width="15" style="5" bestFit="1" customWidth="1"/>
    <col min="1804" max="1804" width="2.140625" style="5" bestFit="1" customWidth="1"/>
    <col min="1805" max="1805" width="9.140625" style="5"/>
    <col min="1806" max="1806" width="11.140625" style="5" bestFit="1" customWidth="1"/>
    <col min="1807" max="2049" width="9.140625" style="5"/>
    <col min="2050" max="2050" width="14.42578125" style="5" bestFit="1" customWidth="1"/>
    <col min="2051" max="2051" width="8.7109375" style="5" bestFit="1" customWidth="1"/>
    <col min="2052" max="2052" width="36.7109375" style="5" bestFit="1" customWidth="1"/>
    <col min="2053" max="2053" width="15" style="5" bestFit="1" customWidth="1"/>
    <col min="2054" max="2054" width="5.140625" style="5" bestFit="1" customWidth="1"/>
    <col min="2055" max="2055" width="15" style="5" bestFit="1" customWidth="1"/>
    <col min="2056" max="2056" width="5.140625" style="5" bestFit="1" customWidth="1"/>
    <col min="2057" max="2057" width="15" style="5" bestFit="1" customWidth="1"/>
    <col min="2058" max="2058" width="5.140625" style="5" bestFit="1" customWidth="1"/>
    <col min="2059" max="2059" width="15" style="5" bestFit="1" customWidth="1"/>
    <col min="2060" max="2060" width="2.140625" style="5" bestFit="1" customWidth="1"/>
    <col min="2061" max="2061" width="9.140625" style="5"/>
    <col min="2062" max="2062" width="11.140625" style="5" bestFit="1" customWidth="1"/>
    <col min="2063" max="2305" width="9.140625" style="5"/>
    <col min="2306" max="2306" width="14.42578125" style="5" bestFit="1" customWidth="1"/>
    <col min="2307" max="2307" width="8.7109375" style="5" bestFit="1" customWidth="1"/>
    <col min="2308" max="2308" width="36.7109375" style="5" bestFit="1" customWidth="1"/>
    <col min="2309" max="2309" width="15" style="5" bestFit="1" customWidth="1"/>
    <col min="2310" max="2310" width="5.140625" style="5" bestFit="1" customWidth="1"/>
    <col min="2311" max="2311" width="15" style="5" bestFit="1" customWidth="1"/>
    <col min="2312" max="2312" width="5.140625" style="5" bestFit="1" customWidth="1"/>
    <col min="2313" max="2313" width="15" style="5" bestFit="1" customWidth="1"/>
    <col min="2314" max="2314" width="5.140625" style="5" bestFit="1" customWidth="1"/>
    <col min="2315" max="2315" width="15" style="5" bestFit="1" customWidth="1"/>
    <col min="2316" max="2316" width="2.140625" style="5" bestFit="1" customWidth="1"/>
    <col min="2317" max="2317" width="9.140625" style="5"/>
    <col min="2318" max="2318" width="11.140625" style="5" bestFit="1" customWidth="1"/>
    <col min="2319" max="2561" width="9.140625" style="5"/>
    <col min="2562" max="2562" width="14.42578125" style="5" bestFit="1" customWidth="1"/>
    <col min="2563" max="2563" width="8.7109375" style="5" bestFit="1" customWidth="1"/>
    <col min="2564" max="2564" width="36.7109375" style="5" bestFit="1" customWidth="1"/>
    <col min="2565" max="2565" width="15" style="5" bestFit="1" customWidth="1"/>
    <col min="2566" max="2566" width="5.140625" style="5" bestFit="1" customWidth="1"/>
    <col min="2567" max="2567" width="15" style="5" bestFit="1" customWidth="1"/>
    <col min="2568" max="2568" width="5.140625" style="5" bestFit="1" customWidth="1"/>
    <col min="2569" max="2569" width="15" style="5" bestFit="1" customWidth="1"/>
    <col min="2570" max="2570" width="5.140625" style="5" bestFit="1" customWidth="1"/>
    <col min="2571" max="2571" width="15" style="5" bestFit="1" customWidth="1"/>
    <col min="2572" max="2572" width="2.140625" style="5" bestFit="1" customWidth="1"/>
    <col min="2573" max="2573" width="9.140625" style="5"/>
    <col min="2574" max="2574" width="11.140625" style="5" bestFit="1" customWidth="1"/>
    <col min="2575" max="2817" width="9.140625" style="5"/>
    <col min="2818" max="2818" width="14.42578125" style="5" bestFit="1" customWidth="1"/>
    <col min="2819" max="2819" width="8.7109375" style="5" bestFit="1" customWidth="1"/>
    <col min="2820" max="2820" width="36.7109375" style="5" bestFit="1" customWidth="1"/>
    <col min="2821" max="2821" width="15" style="5" bestFit="1" customWidth="1"/>
    <col min="2822" max="2822" width="5.140625" style="5" bestFit="1" customWidth="1"/>
    <col min="2823" max="2823" width="15" style="5" bestFit="1" customWidth="1"/>
    <col min="2824" max="2824" width="5.140625" style="5" bestFit="1" customWidth="1"/>
    <col min="2825" max="2825" width="15" style="5" bestFit="1" customWidth="1"/>
    <col min="2826" max="2826" width="5.140625" style="5" bestFit="1" customWidth="1"/>
    <col min="2827" max="2827" width="15" style="5" bestFit="1" customWidth="1"/>
    <col min="2828" max="2828" width="2.140625" style="5" bestFit="1" customWidth="1"/>
    <col min="2829" max="2829" width="9.140625" style="5"/>
    <col min="2830" max="2830" width="11.140625" style="5" bestFit="1" customWidth="1"/>
    <col min="2831" max="3073" width="9.140625" style="5"/>
    <col min="3074" max="3074" width="14.42578125" style="5" bestFit="1" customWidth="1"/>
    <col min="3075" max="3075" width="8.7109375" style="5" bestFit="1" customWidth="1"/>
    <col min="3076" max="3076" width="36.7109375" style="5" bestFit="1" customWidth="1"/>
    <col min="3077" max="3077" width="15" style="5" bestFit="1" customWidth="1"/>
    <col min="3078" max="3078" width="5.140625" style="5" bestFit="1" customWidth="1"/>
    <col min="3079" max="3079" width="15" style="5" bestFit="1" customWidth="1"/>
    <col min="3080" max="3080" width="5.140625" style="5" bestFit="1" customWidth="1"/>
    <col min="3081" max="3081" width="15" style="5" bestFit="1" customWidth="1"/>
    <col min="3082" max="3082" width="5.140625" style="5" bestFit="1" customWidth="1"/>
    <col min="3083" max="3083" width="15" style="5" bestFit="1" customWidth="1"/>
    <col min="3084" max="3084" width="2.140625" style="5" bestFit="1" customWidth="1"/>
    <col min="3085" max="3085" width="9.140625" style="5"/>
    <col min="3086" max="3086" width="11.140625" style="5" bestFit="1" customWidth="1"/>
    <col min="3087" max="3329" width="9.140625" style="5"/>
    <col min="3330" max="3330" width="14.42578125" style="5" bestFit="1" customWidth="1"/>
    <col min="3331" max="3331" width="8.7109375" style="5" bestFit="1" customWidth="1"/>
    <col min="3332" max="3332" width="36.7109375" style="5" bestFit="1" customWidth="1"/>
    <col min="3333" max="3333" width="15" style="5" bestFit="1" customWidth="1"/>
    <col min="3334" max="3334" width="5.140625" style="5" bestFit="1" customWidth="1"/>
    <col min="3335" max="3335" width="15" style="5" bestFit="1" customWidth="1"/>
    <col min="3336" max="3336" width="5.140625" style="5" bestFit="1" customWidth="1"/>
    <col min="3337" max="3337" width="15" style="5" bestFit="1" customWidth="1"/>
    <col min="3338" max="3338" width="5.140625" style="5" bestFit="1" customWidth="1"/>
    <col min="3339" max="3339" width="15" style="5" bestFit="1" customWidth="1"/>
    <col min="3340" max="3340" width="2.140625" style="5" bestFit="1" customWidth="1"/>
    <col min="3341" max="3341" width="9.140625" style="5"/>
    <col min="3342" max="3342" width="11.140625" style="5" bestFit="1" customWidth="1"/>
    <col min="3343" max="3585" width="9.140625" style="5"/>
    <col min="3586" max="3586" width="14.42578125" style="5" bestFit="1" customWidth="1"/>
    <col min="3587" max="3587" width="8.7109375" style="5" bestFit="1" customWidth="1"/>
    <col min="3588" max="3588" width="36.7109375" style="5" bestFit="1" customWidth="1"/>
    <col min="3589" max="3589" width="15" style="5" bestFit="1" customWidth="1"/>
    <col min="3590" max="3590" width="5.140625" style="5" bestFit="1" customWidth="1"/>
    <col min="3591" max="3591" width="15" style="5" bestFit="1" customWidth="1"/>
    <col min="3592" max="3592" width="5.140625" style="5" bestFit="1" customWidth="1"/>
    <col min="3593" max="3593" width="15" style="5" bestFit="1" customWidth="1"/>
    <col min="3594" max="3594" width="5.140625" style="5" bestFit="1" customWidth="1"/>
    <col min="3595" max="3595" width="15" style="5" bestFit="1" customWidth="1"/>
    <col min="3596" max="3596" width="2.140625" style="5" bestFit="1" customWidth="1"/>
    <col min="3597" max="3597" width="9.140625" style="5"/>
    <col min="3598" max="3598" width="11.140625" style="5" bestFit="1" customWidth="1"/>
    <col min="3599" max="3841" width="9.140625" style="5"/>
    <col min="3842" max="3842" width="14.42578125" style="5" bestFit="1" customWidth="1"/>
    <col min="3843" max="3843" width="8.7109375" style="5" bestFit="1" customWidth="1"/>
    <col min="3844" max="3844" width="36.7109375" style="5" bestFit="1" customWidth="1"/>
    <col min="3845" max="3845" width="15" style="5" bestFit="1" customWidth="1"/>
    <col min="3846" max="3846" width="5.140625" style="5" bestFit="1" customWidth="1"/>
    <col min="3847" max="3847" width="15" style="5" bestFit="1" customWidth="1"/>
    <col min="3848" max="3848" width="5.140625" style="5" bestFit="1" customWidth="1"/>
    <col min="3849" max="3849" width="15" style="5" bestFit="1" customWidth="1"/>
    <col min="3850" max="3850" width="5.140625" style="5" bestFit="1" customWidth="1"/>
    <col min="3851" max="3851" width="15" style="5" bestFit="1" customWidth="1"/>
    <col min="3852" max="3852" width="2.140625" style="5" bestFit="1" customWidth="1"/>
    <col min="3853" max="3853" width="9.140625" style="5"/>
    <col min="3854" max="3854" width="11.140625" style="5" bestFit="1" customWidth="1"/>
    <col min="3855" max="4097" width="9.140625" style="5"/>
    <col min="4098" max="4098" width="14.42578125" style="5" bestFit="1" customWidth="1"/>
    <col min="4099" max="4099" width="8.7109375" style="5" bestFit="1" customWidth="1"/>
    <col min="4100" max="4100" width="36.7109375" style="5" bestFit="1" customWidth="1"/>
    <col min="4101" max="4101" width="15" style="5" bestFit="1" customWidth="1"/>
    <col min="4102" max="4102" width="5.140625" style="5" bestFit="1" customWidth="1"/>
    <col min="4103" max="4103" width="15" style="5" bestFit="1" customWidth="1"/>
    <col min="4104" max="4104" width="5.140625" style="5" bestFit="1" customWidth="1"/>
    <col min="4105" max="4105" width="15" style="5" bestFit="1" customWidth="1"/>
    <col min="4106" max="4106" width="5.140625" style="5" bestFit="1" customWidth="1"/>
    <col min="4107" max="4107" width="15" style="5" bestFit="1" customWidth="1"/>
    <col min="4108" max="4108" width="2.140625" style="5" bestFit="1" customWidth="1"/>
    <col min="4109" max="4109" width="9.140625" style="5"/>
    <col min="4110" max="4110" width="11.140625" style="5" bestFit="1" customWidth="1"/>
    <col min="4111" max="4353" width="9.140625" style="5"/>
    <col min="4354" max="4354" width="14.42578125" style="5" bestFit="1" customWidth="1"/>
    <col min="4355" max="4355" width="8.7109375" style="5" bestFit="1" customWidth="1"/>
    <col min="4356" max="4356" width="36.7109375" style="5" bestFit="1" customWidth="1"/>
    <col min="4357" max="4357" width="15" style="5" bestFit="1" customWidth="1"/>
    <col min="4358" max="4358" width="5.140625" style="5" bestFit="1" customWidth="1"/>
    <col min="4359" max="4359" width="15" style="5" bestFit="1" customWidth="1"/>
    <col min="4360" max="4360" width="5.140625" style="5" bestFit="1" customWidth="1"/>
    <col min="4361" max="4361" width="15" style="5" bestFit="1" customWidth="1"/>
    <col min="4362" max="4362" width="5.140625" style="5" bestFit="1" customWidth="1"/>
    <col min="4363" max="4363" width="15" style="5" bestFit="1" customWidth="1"/>
    <col min="4364" max="4364" width="2.140625" style="5" bestFit="1" customWidth="1"/>
    <col min="4365" max="4365" width="9.140625" style="5"/>
    <col min="4366" max="4366" width="11.140625" style="5" bestFit="1" customWidth="1"/>
    <col min="4367" max="4609" width="9.140625" style="5"/>
    <col min="4610" max="4610" width="14.42578125" style="5" bestFit="1" customWidth="1"/>
    <col min="4611" max="4611" width="8.7109375" style="5" bestFit="1" customWidth="1"/>
    <col min="4612" max="4612" width="36.7109375" style="5" bestFit="1" customWidth="1"/>
    <col min="4613" max="4613" width="15" style="5" bestFit="1" customWidth="1"/>
    <col min="4614" max="4614" width="5.140625" style="5" bestFit="1" customWidth="1"/>
    <col min="4615" max="4615" width="15" style="5" bestFit="1" customWidth="1"/>
    <col min="4616" max="4616" width="5.140625" style="5" bestFit="1" customWidth="1"/>
    <col min="4617" max="4617" width="15" style="5" bestFit="1" customWidth="1"/>
    <col min="4618" max="4618" width="5.140625" style="5" bestFit="1" customWidth="1"/>
    <col min="4619" max="4619" width="15" style="5" bestFit="1" customWidth="1"/>
    <col min="4620" max="4620" width="2.140625" style="5" bestFit="1" customWidth="1"/>
    <col min="4621" max="4621" width="9.140625" style="5"/>
    <col min="4622" max="4622" width="11.140625" style="5" bestFit="1" customWidth="1"/>
    <col min="4623" max="4865" width="9.140625" style="5"/>
    <col min="4866" max="4866" width="14.42578125" style="5" bestFit="1" customWidth="1"/>
    <col min="4867" max="4867" width="8.7109375" style="5" bestFit="1" customWidth="1"/>
    <col min="4868" max="4868" width="36.7109375" style="5" bestFit="1" customWidth="1"/>
    <col min="4869" max="4869" width="15" style="5" bestFit="1" customWidth="1"/>
    <col min="4870" max="4870" width="5.140625" style="5" bestFit="1" customWidth="1"/>
    <col min="4871" max="4871" width="15" style="5" bestFit="1" customWidth="1"/>
    <col min="4872" max="4872" width="5.140625" style="5" bestFit="1" customWidth="1"/>
    <col min="4873" max="4873" width="15" style="5" bestFit="1" customWidth="1"/>
    <col min="4874" max="4874" width="5.140625" style="5" bestFit="1" customWidth="1"/>
    <col min="4875" max="4875" width="15" style="5" bestFit="1" customWidth="1"/>
    <col min="4876" max="4876" width="2.140625" style="5" bestFit="1" customWidth="1"/>
    <col min="4877" max="4877" width="9.140625" style="5"/>
    <col min="4878" max="4878" width="11.140625" style="5" bestFit="1" customWidth="1"/>
    <col min="4879" max="5121" width="9.140625" style="5"/>
    <col min="5122" max="5122" width="14.42578125" style="5" bestFit="1" customWidth="1"/>
    <col min="5123" max="5123" width="8.7109375" style="5" bestFit="1" customWidth="1"/>
    <col min="5124" max="5124" width="36.7109375" style="5" bestFit="1" customWidth="1"/>
    <col min="5125" max="5125" width="15" style="5" bestFit="1" customWidth="1"/>
    <col min="5126" max="5126" width="5.140625" style="5" bestFit="1" customWidth="1"/>
    <col min="5127" max="5127" width="15" style="5" bestFit="1" customWidth="1"/>
    <col min="5128" max="5128" width="5.140625" style="5" bestFit="1" customWidth="1"/>
    <col min="5129" max="5129" width="15" style="5" bestFit="1" customWidth="1"/>
    <col min="5130" max="5130" width="5.140625" style="5" bestFit="1" customWidth="1"/>
    <col min="5131" max="5131" width="15" style="5" bestFit="1" customWidth="1"/>
    <col min="5132" max="5132" width="2.140625" style="5" bestFit="1" customWidth="1"/>
    <col min="5133" max="5133" width="9.140625" style="5"/>
    <col min="5134" max="5134" width="11.140625" style="5" bestFit="1" customWidth="1"/>
    <col min="5135" max="5377" width="9.140625" style="5"/>
    <col min="5378" max="5378" width="14.42578125" style="5" bestFit="1" customWidth="1"/>
    <col min="5379" max="5379" width="8.7109375" style="5" bestFit="1" customWidth="1"/>
    <col min="5380" max="5380" width="36.7109375" style="5" bestFit="1" customWidth="1"/>
    <col min="5381" max="5381" width="15" style="5" bestFit="1" customWidth="1"/>
    <col min="5382" max="5382" width="5.140625" style="5" bestFit="1" customWidth="1"/>
    <col min="5383" max="5383" width="15" style="5" bestFit="1" customWidth="1"/>
    <col min="5384" max="5384" width="5.140625" style="5" bestFit="1" customWidth="1"/>
    <col min="5385" max="5385" width="15" style="5" bestFit="1" customWidth="1"/>
    <col min="5386" max="5386" width="5.140625" style="5" bestFit="1" customWidth="1"/>
    <col min="5387" max="5387" width="15" style="5" bestFit="1" customWidth="1"/>
    <col min="5388" max="5388" width="2.140625" style="5" bestFit="1" customWidth="1"/>
    <col min="5389" max="5389" width="9.140625" style="5"/>
    <col min="5390" max="5390" width="11.140625" style="5" bestFit="1" customWidth="1"/>
    <col min="5391" max="5633" width="9.140625" style="5"/>
    <col min="5634" max="5634" width="14.42578125" style="5" bestFit="1" customWidth="1"/>
    <col min="5635" max="5635" width="8.7109375" style="5" bestFit="1" customWidth="1"/>
    <col min="5636" max="5636" width="36.7109375" style="5" bestFit="1" customWidth="1"/>
    <col min="5637" max="5637" width="15" style="5" bestFit="1" customWidth="1"/>
    <col min="5638" max="5638" width="5.140625" style="5" bestFit="1" customWidth="1"/>
    <col min="5639" max="5639" width="15" style="5" bestFit="1" customWidth="1"/>
    <col min="5640" max="5640" width="5.140625" style="5" bestFit="1" customWidth="1"/>
    <col min="5641" max="5641" width="15" style="5" bestFit="1" customWidth="1"/>
    <col min="5642" max="5642" width="5.140625" style="5" bestFit="1" customWidth="1"/>
    <col min="5643" max="5643" width="15" style="5" bestFit="1" customWidth="1"/>
    <col min="5644" max="5644" width="2.140625" style="5" bestFit="1" customWidth="1"/>
    <col min="5645" max="5645" width="9.140625" style="5"/>
    <col min="5646" max="5646" width="11.140625" style="5" bestFit="1" customWidth="1"/>
    <col min="5647" max="5889" width="9.140625" style="5"/>
    <col min="5890" max="5890" width="14.42578125" style="5" bestFit="1" customWidth="1"/>
    <col min="5891" max="5891" width="8.7109375" style="5" bestFit="1" customWidth="1"/>
    <col min="5892" max="5892" width="36.7109375" style="5" bestFit="1" customWidth="1"/>
    <col min="5893" max="5893" width="15" style="5" bestFit="1" customWidth="1"/>
    <col min="5894" max="5894" width="5.140625" style="5" bestFit="1" customWidth="1"/>
    <col min="5895" max="5895" width="15" style="5" bestFit="1" customWidth="1"/>
    <col min="5896" max="5896" width="5.140625" style="5" bestFit="1" customWidth="1"/>
    <col min="5897" max="5897" width="15" style="5" bestFit="1" customWidth="1"/>
    <col min="5898" max="5898" width="5.140625" style="5" bestFit="1" customWidth="1"/>
    <col min="5899" max="5899" width="15" style="5" bestFit="1" customWidth="1"/>
    <col min="5900" max="5900" width="2.140625" style="5" bestFit="1" customWidth="1"/>
    <col min="5901" max="5901" width="9.140625" style="5"/>
    <col min="5902" max="5902" width="11.140625" style="5" bestFit="1" customWidth="1"/>
    <col min="5903" max="6145" width="9.140625" style="5"/>
    <col min="6146" max="6146" width="14.42578125" style="5" bestFit="1" customWidth="1"/>
    <col min="6147" max="6147" width="8.7109375" style="5" bestFit="1" customWidth="1"/>
    <col min="6148" max="6148" width="36.7109375" style="5" bestFit="1" customWidth="1"/>
    <col min="6149" max="6149" width="15" style="5" bestFit="1" customWidth="1"/>
    <col min="6150" max="6150" width="5.140625" style="5" bestFit="1" customWidth="1"/>
    <col min="6151" max="6151" width="15" style="5" bestFit="1" customWidth="1"/>
    <col min="6152" max="6152" width="5.140625" style="5" bestFit="1" customWidth="1"/>
    <col min="6153" max="6153" width="15" style="5" bestFit="1" customWidth="1"/>
    <col min="6154" max="6154" width="5.140625" style="5" bestFit="1" customWidth="1"/>
    <col min="6155" max="6155" width="15" style="5" bestFit="1" customWidth="1"/>
    <col min="6156" max="6156" width="2.140625" style="5" bestFit="1" customWidth="1"/>
    <col min="6157" max="6157" width="9.140625" style="5"/>
    <col min="6158" max="6158" width="11.140625" style="5" bestFit="1" customWidth="1"/>
    <col min="6159" max="6401" width="9.140625" style="5"/>
    <col min="6402" max="6402" width="14.42578125" style="5" bestFit="1" customWidth="1"/>
    <col min="6403" max="6403" width="8.7109375" style="5" bestFit="1" customWidth="1"/>
    <col min="6404" max="6404" width="36.7109375" style="5" bestFit="1" customWidth="1"/>
    <col min="6405" max="6405" width="15" style="5" bestFit="1" customWidth="1"/>
    <col min="6406" max="6406" width="5.140625" style="5" bestFit="1" customWidth="1"/>
    <col min="6407" max="6407" width="15" style="5" bestFit="1" customWidth="1"/>
    <col min="6408" max="6408" width="5.140625" style="5" bestFit="1" customWidth="1"/>
    <col min="6409" max="6409" width="15" style="5" bestFit="1" customWidth="1"/>
    <col min="6410" max="6410" width="5.140625" style="5" bestFit="1" customWidth="1"/>
    <col min="6411" max="6411" width="15" style="5" bestFit="1" customWidth="1"/>
    <col min="6412" max="6412" width="2.140625" style="5" bestFit="1" customWidth="1"/>
    <col min="6413" max="6413" width="9.140625" style="5"/>
    <col min="6414" max="6414" width="11.140625" style="5" bestFit="1" customWidth="1"/>
    <col min="6415" max="6657" width="9.140625" style="5"/>
    <col min="6658" max="6658" width="14.42578125" style="5" bestFit="1" customWidth="1"/>
    <col min="6659" max="6659" width="8.7109375" style="5" bestFit="1" customWidth="1"/>
    <col min="6660" max="6660" width="36.7109375" style="5" bestFit="1" customWidth="1"/>
    <col min="6661" max="6661" width="15" style="5" bestFit="1" customWidth="1"/>
    <col min="6662" max="6662" width="5.140625" style="5" bestFit="1" customWidth="1"/>
    <col min="6663" max="6663" width="15" style="5" bestFit="1" customWidth="1"/>
    <col min="6664" max="6664" width="5.140625" style="5" bestFit="1" customWidth="1"/>
    <col min="6665" max="6665" width="15" style="5" bestFit="1" customWidth="1"/>
    <col min="6666" max="6666" width="5.140625" style="5" bestFit="1" customWidth="1"/>
    <col min="6667" max="6667" width="15" style="5" bestFit="1" customWidth="1"/>
    <col min="6668" max="6668" width="2.140625" style="5" bestFit="1" customWidth="1"/>
    <col min="6669" max="6669" width="9.140625" style="5"/>
    <col min="6670" max="6670" width="11.140625" style="5" bestFit="1" customWidth="1"/>
    <col min="6671" max="6913" width="9.140625" style="5"/>
    <col min="6914" max="6914" width="14.42578125" style="5" bestFit="1" customWidth="1"/>
    <col min="6915" max="6915" width="8.7109375" style="5" bestFit="1" customWidth="1"/>
    <col min="6916" max="6916" width="36.7109375" style="5" bestFit="1" customWidth="1"/>
    <col min="6917" max="6917" width="15" style="5" bestFit="1" customWidth="1"/>
    <col min="6918" max="6918" width="5.140625" style="5" bestFit="1" customWidth="1"/>
    <col min="6919" max="6919" width="15" style="5" bestFit="1" customWidth="1"/>
    <col min="6920" max="6920" width="5.140625" style="5" bestFit="1" customWidth="1"/>
    <col min="6921" max="6921" width="15" style="5" bestFit="1" customWidth="1"/>
    <col min="6922" max="6922" width="5.140625" style="5" bestFit="1" customWidth="1"/>
    <col min="6923" max="6923" width="15" style="5" bestFit="1" customWidth="1"/>
    <col min="6924" max="6924" width="2.140625" style="5" bestFit="1" customWidth="1"/>
    <col min="6925" max="6925" width="9.140625" style="5"/>
    <col min="6926" max="6926" width="11.140625" style="5" bestFit="1" customWidth="1"/>
    <col min="6927" max="7169" width="9.140625" style="5"/>
    <col min="7170" max="7170" width="14.42578125" style="5" bestFit="1" customWidth="1"/>
    <col min="7171" max="7171" width="8.7109375" style="5" bestFit="1" customWidth="1"/>
    <col min="7172" max="7172" width="36.7109375" style="5" bestFit="1" customWidth="1"/>
    <col min="7173" max="7173" width="15" style="5" bestFit="1" customWidth="1"/>
    <col min="7174" max="7174" width="5.140625" style="5" bestFit="1" customWidth="1"/>
    <col min="7175" max="7175" width="15" style="5" bestFit="1" customWidth="1"/>
    <col min="7176" max="7176" width="5.140625" style="5" bestFit="1" customWidth="1"/>
    <col min="7177" max="7177" width="15" style="5" bestFit="1" customWidth="1"/>
    <col min="7178" max="7178" width="5.140625" style="5" bestFit="1" customWidth="1"/>
    <col min="7179" max="7179" width="15" style="5" bestFit="1" customWidth="1"/>
    <col min="7180" max="7180" width="2.140625" style="5" bestFit="1" customWidth="1"/>
    <col min="7181" max="7181" width="9.140625" style="5"/>
    <col min="7182" max="7182" width="11.140625" style="5" bestFit="1" customWidth="1"/>
    <col min="7183" max="7425" width="9.140625" style="5"/>
    <col min="7426" max="7426" width="14.42578125" style="5" bestFit="1" customWidth="1"/>
    <col min="7427" max="7427" width="8.7109375" style="5" bestFit="1" customWidth="1"/>
    <col min="7428" max="7428" width="36.7109375" style="5" bestFit="1" customWidth="1"/>
    <col min="7429" max="7429" width="15" style="5" bestFit="1" customWidth="1"/>
    <col min="7430" max="7430" width="5.140625" style="5" bestFit="1" customWidth="1"/>
    <col min="7431" max="7431" width="15" style="5" bestFit="1" customWidth="1"/>
    <col min="7432" max="7432" width="5.140625" style="5" bestFit="1" customWidth="1"/>
    <col min="7433" max="7433" width="15" style="5" bestFit="1" customWidth="1"/>
    <col min="7434" max="7434" width="5.140625" style="5" bestFit="1" customWidth="1"/>
    <col min="7435" max="7435" width="15" style="5" bestFit="1" customWidth="1"/>
    <col min="7436" max="7436" width="2.140625" style="5" bestFit="1" customWidth="1"/>
    <col min="7437" max="7437" width="9.140625" style="5"/>
    <col min="7438" max="7438" width="11.140625" style="5" bestFit="1" customWidth="1"/>
    <col min="7439" max="7681" width="9.140625" style="5"/>
    <col min="7682" max="7682" width="14.42578125" style="5" bestFit="1" customWidth="1"/>
    <col min="7683" max="7683" width="8.7109375" style="5" bestFit="1" customWidth="1"/>
    <col min="7684" max="7684" width="36.7109375" style="5" bestFit="1" customWidth="1"/>
    <col min="7685" max="7685" width="15" style="5" bestFit="1" customWidth="1"/>
    <col min="7686" max="7686" width="5.140625" style="5" bestFit="1" customWidth="1"/>
    <col min="7687" max="7687" width="15" style="5" bestFit="1" customWidth="1"/>
    <col min="7688" max="7688" width="5.140625" style="5" bestFit="1" customWidth="1"/>
    <col min="7689" max="7689" width="15" style="5" bestFit="1" customWidth="1"/>
    <col min="7690" max="7690" width="5.140625" style="5" bestFit="1" customWidth="1"/>
    <col min="7691" max="7691" width="15" style="5" bestFit="1" customWidth="1"/>
    <col min="7692" max="7692" width="2.140625" style="5" bestFit="1" customWidth="1"/>
    <col min="7693" max="7693" width="9.140625" style="5"/>
    <col min="7694" max="7694" width="11.140625" style="5" bestFit="1" customWidth="1"/>
    <col min="7695" max="7937" width="9.140625" style="5"/>
    <col min="7938" max="7938" width="14.42578125" style="5" bestFit="1" customWidth="1"/>
    <col min="7939" max="7939" width="8.7109375" style="5" bestFit="1" customWidth="1"/>
    <col min="7940" max="7940" width="36.7109375" style="5" bestFit="1" customWidth="1"/>
    <col min="7941" max="7941" width="15" style="5" bestFit="1" customWidth="1"/>
    <col min="7942" max="7942" width="5.140625" style="5" bestFit="1" customWidth="1"/>
    <col min="7943" max="7943" width="15" style="5" bestFit="1" customWidth="1"/>
    <col min="7944" max="7944" width="5.140625" style="5" bestFit="1" customWidth="1"/>
    <col min="7945" max="7945" width="15" style="5" bestFit="1" customWidth="1"/>
    <col min="7946" max="7946" width="5.140625" style="5" bestFit="1" customWidth="1"/>
    <col min="7947" max="7947" width="15" style="5" bestFit="1" customWidth="1"/>
    <col min="7948" max="7948" width="2.140625" style="5" bestFit="1" customWidth="1"/>
    <col min="7949" max="7949" width="9.140625" style="5"/>
    <col min="7950" max="7950" width="11.140625" style="5" bestFit="1" customWidth="1"/>
    <col min="7951" max="8193" width="9.140625" style="5"/>
    <col min="8194" max="8194" width="14.42578125" style="5" bestFit="1" customWidth="1"/>
    <col min="8195" max="8195" width="8.7109375" style="5" bestFit="1" customWidth="1"/>
    <col min="8196" max="8196" width="36.7109375" style="5" bestFit="1" customWidth="1"/>
    <col min="8197" max="8197" width="15" style="5" bestFit="1" customWidth="1"/>
    <col min="8198" max="8198" width="5.140625" style="5" bestFit="1" customWidth="1"/>
    <col min="8199" max="8199" width="15" style="5" bestFit="1" customWidth="1"/>
    <col min="8200" max="8200" width="5.140625" style="5" bestFit="1" customWidth="1"/>
    <col min="8201" max="8201" width="15" style="5" bestFit="1" customWidth="1"/>
    <col min="8202" max="8202" width="5.140625" style="5" bestFit="1" customWidth="1"/>
    <col min="8203" max="8203" width="15" style="5" bestFit="1" customWidth="1"/>
    <col min="8204" max="8204" width="2.140625" style="5" bestFit="1" customWidth="1"/>
    <col min="8205" max="8205" width="9.140625" style="5"/>
    <col min="8206" max="8206" width="11.140625" style="5" bestFit="1" customWidth="1"/>
    <col min="8207" max="8449" width="9.140625" style="5"/>
    <col min="8450" max="8450" width="14.42578125" style="5" bestFit="1" customWidth="1"/>
    <col min="8451" max="8451" width="8.7109375" style="5" bestFit="1" customWidth="1"/>
    <col min="8452" max="8452" width="36.7109375" style="5" bestFit="1" customWidth="1"/>
    <col min="8453" max="8453" width="15" style="5" bestFit="1" customWidth="1"/>
    <col min="8454" max="8454" width="5.140625" style="5" bestFit="1" customWidth="1"/>
    <col min="8455" max="8455" width="15" style="5" bestFit="1" customWidth="1"/>
    <col min="8456" max="8456" width="5.140625" style="5" bestFit="1" customWidth="1"/>
    <col min="8457" max="8457" width="15" style="5" bestFit="1" customWidth="1"/>
    <col min="8458" max="8458" width="5.140625" style="5" bestFit="1" customWidth="1"/>
    <col min="8459" max="8459" width="15" style="5" bestFit="1" customWidth="1"/>
    <col min="8460" max="8460" width="2.140625" style="5" bestFit="1" customWidth="1"/>
    <col min="8461" max="8461" width="9.140625" style="5"/>
    <col min="8462" max="8462" width="11.140625" style="5" bestFit="1" customWidth="1"/>
    <col min="8463" max="8705" width="9.140625" style="5"/>
    <col min="8706" max="8706" width="14.42578125" style="5" bestFit="1" customWidth="1"/>
    <col min="8707" max="8707" width="8.7109375" style="5" bestFit="1" customWidth="1"/>
    <col min="8708" max="8708" width="36.7109375" style="5" bestFit="1" customWidth="1"/>
    <col min="8709" max="8709" width="15" style="5" bestFit="1" customWidth="1"/>
    <col min="8710" max="8710" width="5.140625" style="5" bestFit="1" customWidth="1"/>
    <col min="8711" max="8711" width="15" style="5" bestFit="1" customWidth="1"/>
    <col min="8712" max="8712" width="5.140625" style="5" bestFit="1" customWidth="1"/>
    <col min="8713" max="8713" width="15" style="5" bestFit="1" customWidth="1"/>
    <col min="8714" max="8714" width="5.140625" style="5" bestFit="1" customWidth="1"/>
    <col min="8715" max="8715" width="15" style="5" bestFit="1" customWidth="1"/>
    <col min="8716" max="8716" width="2.140625" style="5" bestFit="1" customWidth="1"/>
    <col min="8717" max="8717" width="9.140625" style="5"/>
    <col min="8718" max="8718" width="11.140625" style="5" bestFit="1" customWidth="1"/>
    <col min="8719" max="8961" width="9.140625" style="5"/>
    <col min="8962" max="8962" width="14.42578125" style="5" bestFit="1" customWidth="1"/>
    <col min="8963" max="8963" width="8.7109375" style="5" bestFit="1" customWidth="1"/>
    <col min="8964" max="8964" width="36.7109375" style="5" bestFit="1" customWidth="1"/>
    <col min="8965" max="8965" width="15" style="5" bestFit="1" customWidth="1"/>
    <col min="8966" max="8966" width="5.140625" style="5" bestFit="1" customWidth="1"/>
    <col min="8967" max="8967" width="15" style="5" bestFit="1" customWidth="1"/>
    <col min="8968" max="8968" width="5.140625" style="5" bestFit="1" customWidth="1"/>
    <col min="8969" max="8969" width="15" style="5" bestFit="1" customWidth="1"/>
    <col min="8970" max="8970" width="5.140625" style="5" bestFit="1" customWidth="1"/>
    <col min="8971" max="8971" width="15" style="5" bestFit="1" customWidth="1"/>
    <col min="8972" max="8972" width="2.140625" style="5" bestFit="1" customWidth="1"/>
    <col min="8973" max="8973" width="9.140625" style="5"/>
    <col min="8974" max="8974" width="11.140625" style="5" bestFit="1" customWidth="1"/>
    <col min="8975" max="9217" width="9.140625" style="5"/>
    <col min="9218" max="9218" width="14.42578125" style="5" bestFit="1" customWidth="1"/>
    <col min="9219" max="9219" width="8.7109375" style="5" bestFit="1" customWidth="1"/>
    <col min="9220" max="9220" width="36.7109375" style="5" bestFit="1" customWidth="1"/>
    <col min="9221" max="9221" width="15" style="5" bestFit="1" customWidth="1"/>
    <col min="9222" max="9222" width="5.140625" style="5" bestFit="1" customWidth="1"/>
    <col min="9223" max="9223" width="15" style="5" bestFit="1" customWidth="1"/>
    <col min="9224" max="9224" width="5.140625" style="5" bestFit="1" customWidth="1"/>
    <col min="9225" max="9225" width="15" style="5" bestFit="1" customWidth="1"/>
    <col min="9226" max="9226" width="5.140625" style="5" bestFit="1" customWidth="1"/>
    <col min="9227" max="9227" width="15" style="5" bestFit="1" customWidth="1"/>
    <col min="9228" max="9228" width="2.140625" style="5" bestFit="1" customWidth="1"/>
    <col min="9229" max="9229" width="9.140625" style="5"/>
    <col min="9230" max="9230" width="11.140625" style="5" bestFit="1" customWidth="1"/>
    <col min="9231" max="9473" width="9.140625" style="5"/>
    <col min="9474" max="9474" width="14.42578125" style="5" bestFit="1" customWidth="1"/>
    <col min="9475" max="9475" width="8.7109375" style="5" bestFit="1" customWidth="1"/>
    <col min="9476" max="9476" width="36.7109375" style="5" bestFit="1" customWidth="1"/>
    <col min="9477" max="9477" width="15" style="5" bestFit="1" customWidth="1"/>
    <col min="9478" max="9478" width="5.140625" style="5" bestFit="1" customWidth="1"/>
    <col min="9479" max="9479" width="15" style="5" bestFit="1" customWidth="1"/>
    <col min="9480" max="9480" width="5.140625" style="5" bestFit="1" customWidth="1"/>
    <col min="9481" max="9481" width="15" style="5" bestFit="1" customWidth="1"/>
    <col min="9482" max="9482" width="5.140625" style="5" bestFit="1" customWidth="1"/>
    <col min="9483" max="9483" width="15" style="5" bestFit="1" customWidth="1"/>
    <col min="9484" max="9484" width="2.140625" style="5" bestFit="1" customWidth="1"/>
    <col min="9485" max="9485" width="9.140625" style="5"/>
    <col min="9486" max="9486" width="11.140625" style="5" bestFit="1" customWidth="1"/>
    <col min="9487" max="9729" width="9.140625" style="5"/>
    <col min="9730" max="9730" width="14.42578125" style="5" bestFit="1" customWidth="1"/>
    <col min="9731" max="9731" width="8.7109375" style="5" bestFit="1" customWidth="1"/>
    <col min="9732" max="9732" width="36.7109375" style="5" bestFit="1" customWidth="1"/>
    <col min="9733" max="9733" width="15" style="5" bestFit="1" customWidth="1"/>
    <col min="9734" max="9734" width="5.140625" style="5" bestFit="1" customWidth="1"/>
    <col min="9735" max="9735" width="15" style="5" bestFit="1" customWidth="1"/>
    <col min="9736" max="9736" width="5.140625" style="5" bestFit="1" customWidth="1"/>
    <col min="9737" max="9737" width="15" style="5" bestFit="1" customWidth="1"/>
    <col min="9738" max="9738" width="5.140625" style="5" bestFit="1" customWidth="1"/>
    <col min="9739" max="9739" width="15" style="5" bestFit="1" customWidth="1"/>
    <col min="9740" max="9740" width="2.140625" style="5" bestFit="1" customWidth="1"/>
    <col min="9741" max="9741" width="9.140625" style="5"/>
    <col min="9742" max="9742" width="11.140625" style="5" bestFit="1" customWidth="1"/>
    <col min="9743" max="9985" width="9.140625" style="5"/>
    <col min="9986" max="9986" width="14.42578125" style="5" bestFit="1" customWidth="1"/>
    <col min="9987" max="9987" width="8.7109375" style="5" bestFit="1" customWidth="1"/>
    <col min="9988" max="9988" width="36.7109375" style="5" bestFit="1" customWidth="1"/>
    <col min="9989" max="9989" width="15" style="5" bestFit="1" customWidth="1"/>
    <col min="9990" max="9990" width="5.140625" style="5" bestFit="1" customWidth="1"/>
    <col min="9991" max="9991" width="15" style="5" bestFit="1" customWidth="1"/>
    <col min="9992" max="9992" width="5.140625" style="5" bestFit="1" customWidth="1"/>
    <col min="9993" max="9993" width="15" style="5" bestFit="1" customWidth="1"/>
    <col min="9994" max="9994" width="5.140625" style="5" bestFit="1" customWidth="1"/>
    <col min="9995" max="9995" width="15" style="5" bestFit="1" customWidth="1"/>
    <col min="9996" max="9996" width="2.140625" style="5" bestFit="1" customWidth="1"/>
    <col min="9997" max="9997" width="9.140625" style="5"/>
    <col min="9998" max="9998" width="11.140625" style="5" bestFit="1" customWidth="1"/>
    <col min="9999" max="10241" width="9.140625" style="5"/>
    <col min="10242" max="10242" width="14.42578125" style="5" bestFit="1" customWidth="1"/>
    <col min="10243" max="10243" width="8.7109375" style="5" bestFit="1" customWidth="1"/>
    <col min="10244" max="10244" width="36.7109375" style="5" bestFit="1" customWidth="1"/>
    <col min="10245" max="10245" width="15" style="5" bestFit="1" customWidth="1"/>
    <col min="10246" max="10246" width="5.140625" style="5" bestFit="1" customWidth="1"/>
    <col min="10247" max="10247" width="15" style="5" bestFit="1" customWidth="1"/>
    <col min="10248" max="10248" width="5.140625" style="5" bestFit="1" customWidth="1"/>
    <col min="10249" max="10249" width="15" style="5" bestFit="1" customWidth="1"/>
    <col min="10250" max="10250" width="5.140625" style="5" bestFit="1" customWidth="1"/>
    <col min="10251" max="10251" width="15" style="5" bestFit="1" customWidth="1"/>
    <col min="10252" max="10252" width="2.140625" style="5" bestFit="1" customWidth="1"/>
    <col min="10253" max="10253" width="9.140625" style="5"/>
    <col min="10254" max="10254" width="11.140625" style="5" bestFit="1" customWidth="1"/>
    <col min="10255" max="10497" width="9.140625" style="5"/>
    <col min="10498" max="10498" width="14.42578125" style="5" bestFit="1" customWidth="1"/>
    <col min="10499" max="10499" width="8.7109375" style="5" bestFit="1" customWidth="1"/>
    <col min="10500" max="10500" width="36.7109375" style="5" bestFit="1" customWidth="1"/>
    <col min="10501" max="10501" width="15" style="5" bestFit="1" customWidth="1"/>
    <col min="10502" max="10502" width="5.140625" style="5" bestFit="1" customWidth="1"/>
    <col min="10503" max="10503" width="15" style="5" bestFit="1" customWidth="1"/>
    <col min="10504" max="10504" width="5.140625" style="5" bestFit="1" customWidth="1"/>
    <col min="10505" max="10505" width="15" style="5" bestFit="1" customWidth="1"/>
    <col min="10506" max="10506" width="5.140625" style="5" bestFit="1" customWidth="1"/>
    <col min="10507" max="10507" width="15" style="5" bestFit="1" customWidth="1"/>
    <col min="10508" max="10508" width="2.140625" style="5" bestFit="1" customWidth="1"/>
    <col min="10509" max="10509" width="9.140625" style="5"/>
    <col min="10510" max="10510" width="11.140625" style="5" bestFit="1" customWidth="1"/>
    <col min="10511" max="10753" width="9.140625" style="5"/>
    <col min="10754" max="10754" width="14.42578125" style="5" bestFit="1" customWidth="1"/>
    <col min="10755" max="10755" width="8.7109375" style="5" bestFit="1" customWidth="1"/>
    <col min="10756" max="10756" width="36.7109375" style="5" bestFit="1" customWidth="1"/>
    <col min="10757" max="10757" width="15" style="5" bestFit="1" customWidth="1"/>
    <col min="10758" max="10758" width="5.140625" style="5" bestFit="1" customWidth="1"/>
    <col min="10759" max="10759" width="15" style="5" bestFit="1" customWidth="1"/>
    <col min="10760" max="10760" width="5.140625" style="5" bestFit="1" customWidth="1"/>
    <col min="10761" max="10761" width="15" style="5" bestFit="1" customWidth="1"/>
    <col min="10762" max="10762" width="5.140625" style="5" bestFit="1" customWidth="1"/>
    <col min="10763" max="10763" width="15" style="5" bestFit="1" customWidth="1"/>
    <col min="10764" max="10764" width="2.140625" style="5" bestFit="1" customWidth="1"/>
    <col min="10765" max="10765" width="9.140625" style="5"/>
    <col min="10766" max="10766" width="11.140625" style="5" bestFit="1" customWidth="1"/>
    <col min="10767" max="11009" width="9.140625" style="5"/>
    <col min="11010" max="11010" width="14.42578125" style="5" bestFit="1" customWidth="1"/>
    <col min="11011" max="11011" width="8.7109375" style="5" bestFit="1" customWidth="1"/>
    <col min="11012" max="11012" width="36.7109375" style="5" bestFit="1" customWidth="1"/>
    <col min="11013" max="11013" width="15" style="5" bestFit="1" customWidth="1"/>
    <col min="11014" max="11014" width="5.140625" style="5" bestFit="1" customWidth="1"/>
    <col min="11015" max="11015" width="15" style="5" bestFit="1" customWidth="1"/>
    <col min="11016" max="11016" width="5.140625" style="5" bestFit="1" customWidth="1"/>
    <col min="11017" max="11017" width="15" style="5" bestFit="1" customWidth="1"/>
    <col min="11018" max="11018" width="5.140625" style="5" bestFit="1" customWidth="1"/>
    <col min="11019" max="11019" width="15" style="5" bestFit="1" customWidth="1"/>
    <col min="11020" max="11020" width="2.140625" style="5" bestFit="1" customWidth="1"/>
    <col min="11021" max="11021" width="9.140625" style="5"/>
    <col min="11022" max="11022" width="11.140625" style="5" bestFit="1" customWidth="1"/>
    <col min="11023" max="11265" width="9.140625" style="5"/>
    <col min="11266" max="11266" width="14.42578125" style="5" bestFit="1" customWidth="1"/>
    <col min="11267" max="11267" width="8.7109375" style="5" bestFit="1" customWidth="1"/>
    <col min="11268" max="11268" width="36.7109375" style="5" bestFit="1" customWidth="1"/>
    <col min="11269" max="11269" width="15" style="5" bestFit="1" customWidth="1"/>
    <col min="11270" max="11270" width="5.140625" style="5" bestFit="1" customWidth="1"/>
    <col min="11271" max="11271" width="15" style="5" bestFit="1" customWidth="1"/>
    <col min="11272" max="11272" width="5.140625" style="5" bestFit="1" customWidth="1"/>
    <col min="11273" max="11273" width="15" style="5" bestFit="1" customWidth="1"/>
    <col min="11274" max="11274" width="5.140625" style="5" bestFit="1" customWidth="1"/>
    <col min="11275" max="11275" width="15" style="5" bestFit="1" customWidth="1"/>
    <col min="11276" max="11276" width="2.140625" style="5" bestFit="1" customWidth="1"/>
    <col min="11277" max="11277" width="9.140625" style="5"/>
    <col min="11278" max="11278" width="11.140625" style="5" bestFit="1" customWidth="1"/>
    <col min="11279" max="11521" width="9.140625" style="5"/>
    <col min="11522" max="11522" width="14.42578125" style="5" bestFit="1" customWidth="1"/>
    <col min="11523" max="11523" width="8.7109375" style="5" bestFit="1" customWidth="1"/>
    <col min="11524" max="11524" width="36.7109375" style="5" bestFit="1" customWidth="1"/>
    <col min="11525" max="11525" width="15" style="5" bestFit="1" customWidth="1"/>
    <col min="11526" max="11526" width="5.140625" style="5" bestFit="1" customWidth="1"/>
    <col min="11527" max="11527" width="15" style="5" bestFit="1" customWidth="1"/>
    <col min="11528" max="11528" width="5.140625" style="5" bestFit="1" customWidth="1"/>
    <col min="11529" max="11529" width="15" style="5" bestFit="1" customWidth="1"/>
    <col min="11530" max="11530" width="5.140625" style="5" bestFit="1" customWidth="1"/>
    <col min="11531" max="11531" width="15" style="5" bestFit="1" customWidth="1"/>
    <col min="11532" max="11532" width="2.140625" style="5" bestFit="1" customWidth="1"/>
    <col min="11533" max="11533" width="9.140625" style="5"/>
    <col min="11534" max="11534" width="11.140625" style="5" bestFit="1" customWidth="1"/>
    <col min="11535" max="11777" width="9.140625" style="5"/>
    <col min="11778" max="11778" width="14.42578125" style="5" bestFit="1" customWidth="1"/>
    <col min="11779" max="11779" width="8.7109375" style="5" bestFit="1" customWidth="1"/>
    <col min="11780" max="11780" width="36.7109375" style="5" bestFit="1" customWidth="1"/>
    <col min="11781" max="11781" width="15" style="5" bestFit="1" customWidth="1"/>
    <col min="11782" max="11782" width="5.140625" style="5" bestFit="1" customWidth="1"/>
    <col min="11783" max="11783" width="15" style="5" bestFit="1" customWidth="1"/>
    <col min="11784" max="11784" width="5.140625" style="5" bestFit="1" customWidth="1"/>
    <col min="11785" max="11785" width="15" style="5" bestFit="1" customWidth="1"/>
    <col min="11786" max="11786" width="5.140625" style="5" bestFit="1" customWidth="1"/>
    <col min="11787" max="11787" width="15" style="5" bestFit="1" customWidth="1"/>
    <col min="11788" max="11788" width="2.140625" style="5" bestFit="1" customWidth="1"/>
    <col min="11789" max="11789" width="9.140625" style="5"/>
    <col min="11790" max="11790" width="11.140625" style="5" bestFit="1" customWidth="1"/>
    <col min="11791" max="12033" width="9.140625" style="5"/>
    <col min="12034" max="12034" width="14.42578125" style="5" bestFit="1" customWidth="1"/>
    <col min="12035" max="12035" width="8.7109375" style="5" bestFit="1" customWidth="1"/>
    <col min="12036" max="12036" width="36.7109375" style="5" bestFit="1" customWidth="1"/>
    <col min="12037" max="12037" width="15" style="5" bestFit="1" customWidth="1"/>
    <col min="12038" max="12038" width="5.140625" style="5" bestFit="1" customWidth="1"/>
    <col min="12039" max="12039" width="15" style="5" bestFit="1" customWidth="1"/>
    <col min="12040" max="12040" width="5.140625" style="5" bestFit="1" customWidth="1"/>
    <col min="12041" max="12041" width="15" style="5" bestFit="1" customWidth="1"/>
    <col min="12042" max="12042" width="5.140625" style="5" bestFit="1" customWidth="1"/>
    <col min="12043" max="12043" width="15" style="5" bestFit="1" customWidth="1"/>
    <col min="12044" max="12044" width="2.140625" style="5" bestFit="1" customWidth="1"/>
    <col min="12045" max="12045" width="9.140625" style="5"/>
    <col min="12046" max="12046" width="11.140625" style="5" bestFit="1" customWidth="1"/>
    <col min="12047" max="12289" width="9.140625" style="5"/>
    <col min="12290" max="12290" width="14.42578125" style="5" bestFit="1" customWidth="1"/>
    <col min="12291" max="12291" width="8.7109375" style="5" bestFit="1" customWidth="1"/>
    <col min="12292" max="12292" width="36.7109375" style="5" bestFit="1" customWidth="1"/>
    <col min="12293" max="12293" width="15" style="5" bestFit="1" customWidth="1"/>
    <col min="12294" max="12294" width="5.140625" style="5" bestFit="1" customWidth="1"/>
    <col min="12295" max="12295" width="15" style="5" bestFit="1" customWidth="1"/>
    <col min="12296" max="12296" width="5.140625" style="5" bestFit="1" customWidth="1"/>
    <col min="12297" max="12297" width="15" style="5" bestFit="1" customWidth="1"/>
    <col min="12298" max="12298" width="5.140625" style="5" bestFit="1" customWidth="1"/>
    <col min="12299" max="12299" width="15" style="5" bestFit="1" customWidth="1"/>
    <col min="12300" max="12300" width="2.140625" style="5" bestFit="1" customWidth="1"/>
    <col min="12301" max="12301" width="9.140625" style="5"/>
    <col min="12302" max="12302" width="11.140625" style="5" bestFit="1" customWidth="1"/>
    <col min="12303" max="12545" width="9.140625" style="5"/>
    <col min="12546" max="12546" width="14.42578125" style="5" bestFit="1" customWidth="1"/>
    <col min="12547" max="12547" width="8.7109375" style="5" bestFit="1" customWidth="1"/>
    <col min="12548" max="12548" width="36.7109375" style="5" bestFit="1" customWidth="1"/>
    <col min="12549" max="12549" width="15" style="5" bestFit="1" customWidth="1"/>
    <col min="12550" max="12550" width="5.140625" style="5" bestFit="1" customWidth="1"/>
    <col min="12551" max="12551" width="15" style="5" bestFit="1" customWidth="1"/>
    <col min="12552" max="12552" width="5.140625" style="5" bestFit="1" customWidth="1"/>
    <col min="12553" max="12553" width="15" style="5" bestFit="1" customWidth="1"/>
    <col min="12554" max="12554" width="5.140625" style="5" bestFit="1" customWidth="1"/>
    <col min="12555" max="12555" width="15" style="5" bestFit="1" customWidth="1"/>
    <col min="12556" max="12556" width="2.140625" style="5" bestFit="1" customWidth="1"/>
    <col min="12557" max="12557" width="9.140625" style="5"/>
    <col min="12558" max="12558" width="11.140625" style="5" bestFit="1" customWidth="1"/>
    <col min="12559" max="12801" width="9.140625" style="5"/>
    <col min="12802" max="12802" width="14.42578125" style="5" bestFit="1" customWidth="1"/>
    <col min="12803" max="12803" width="8.7109375" style="5" bestFit="1" customWidth="1"/>
    <col min="12804" max="12804" width="36.7109375" style="5" bestFit="1" customWidth="1"/>
    <col min="12805" max="12805" width="15" style="5" bestFit="1" customWidth="1"/>
    <col min="12806" max="12806" width="5.140625" style="5" bestFit="1" customWidth="1"/>
    <col min="12807" max="12807" width="15" style="5" bestFit="1" customWidth="1"/>
    <col min="12808" max="12808" width="5.140625" style="5" bestFit="1" customWidth="1"/>
    <col min="12809" max="12809" width="15" style="5" bestFit="1" customWidth="1"/>
    <col min="12810" max="12810" width="5.140625" style="5" bestFit="1" customWidth="1"/>
    <col min="12811" max="12811" width="15" style="5" bestFit="1" customWidth="1"/>
    <col min="12812" max="12812" width="2.140625" style="5" bestFit="1" customWidth="1"/>
    <col min="12813" max="12813" width="9.140625" style="5"/>
    <col min="12814" max="12814" width="11.140625" style="5" bestFit="1" customWidth="1"/>
    <col min="12815" max="13057" width="9.140625" style="5"/>
    <col min="13058" max="13058" width="14.42578125" style="5" bestFit="1" customWidth="1"/>
    <col min="13059" max="13059" width="8.7109375" style="5" bestFit="1" customWidth="1"/>
    <col min="13060" max="13060" width="36.7109375" style="5" bestFit="1" customWidth="1"/>
    <col min="13061" max="13061" width="15" style="5" bestFit="1" customWidth="1"/>
    <col min="13062" max="13062" width="5.140625" style="5" bestFit="1" customWidth="1"/>
    <col min="13063" max="13063" width="15" style="5" bestFit="1" customWidth="1"/>
    <col min="13064" max="13064" width="5.140625" style="5" bestFit="1" customWidth="1"/>
    <col min="13065" max="13065" width="15" style="5" bestFit="1" customWidth="1"/>
    <col min="13066" max="13066" width="5.140625" style="5" bestFit="1" customWidth="1"/>
    <col min="13067" max="13067" width="15" style="5" bestFit="1" customWidth="1"/>
    <col min="13068" max="13068" width="2.140625" style="5" bestFit="1" customWidth="1"/>
    <col min="13069" max="13069" width="9.140625" style="5"/>
    <col min="13070" max="13070" width="11.140625" style="5" bestFit="1" customWidth="1"/>
    <col min="13071" max="13313" width="9.140625" style="5"/>
    <col min="13314" max="13314" width="14.42578125" style="5" bestFit="1" customWidth="1"/>
    <col min="13315" max="13315" width="8.7109375" style="5" bestFit="1" customWidth="1"/>
    <col min="13316" max="13316" width="36.7109375" style="5" bestFit="1" customWidth="1"/>
    <col min="13317" max="13317" width="15" style="5" bestFit="1" customWidth="1"/>
    <col min="13318" max="13318" width="5.140625" style="5" bestFit="1" customWidth="1"/>
    <col min="13319" max="13319" width="15" style="5" bestFit="1" customWidth="1"/>
    <col min="13320" max="13320" width="5.140625" style="5" bestFit="1" customWidth="1"/>
    <col min="13321" max="13321" width="15" style="5" bestFit="1" customWidth="1"/>
    <col min="13322" max="13322" width="5.140625" style="5" bestFit="1" customWidth="1"/>
    <col min="13323" max="13323" width="15" style="5" bestFit="1" customWidth="1"/>
    <col min="13324" max="13324" width="2.140625" style="5" bestFit="1" customWidth="1"/>
    <col min="13325" max="13325" width="9.140625" style="5"/>
    <col min="13326" max="13326" width="11.140625" style="5" bestFit="1" customWidth="1"/>
    <col min="13327" max="13569" width="9.140625" style="5"/>
    <col min="13570" max="13570" width="14.42578125" style="5" bestFit="1" customWidth="1"/>
    <col min="13571" max="13571" width="8.7109375" style="5" bestFit="1" customWidth="1"/>
    <col min="13572" max="13572" width="36.7109375" style="5" bestFit="1" customWidth="1"/>
    <col min="13573" max="13573" width="15" style="5" bestFit="1" customWidth="1"/>
    <col min="13574" max="13574" width="5.140625" style="5" bestFit="1" customWidth="1"/>
    <col min="13575" max="13575" width="15" style="5" bestFit="1" customWidth="1"/>
    <col min="13576" max="13576" width="5.140625" style="5" bestFit="1" customWidth="1"/>
    <col min="13577" max="13577" width="15" style="5" bestFit="1" customWidth="1"/>
    <col min="13578" max="13578" width="5.140625" style="5" bestFit="1" customWidth="1"/>
    <col min="13579" max="13579" width="15" style="5" bestFit="1" customWidth="1"/>
    <col min="13580" max="13580" width="2.140625" style="5" bestFit="1" customWidth="1"/>
    <col min="13581" max="13581" width="9.140625" style="5"/>
    <col min="13582" max="13582" width="11.140625" style="5" bestFit="1" customWidth="1"/>
    <col min="13583" max="13825" width="9.140625" style="5"/>
    <col min="13826" max="13826" width="14.42578125" style="5" bestFit="1" customWidth="1"/>
    <col min="13827" max="13827" width="8.7109375" style="5" bestFit="1" customWidth="1"/>
    <col min="13828" max="13828" width="36.7109375" style="5" bestFit="1" customWidth="1"/>
    <col min="13829" max="13829" width="15" style="5" bestFit="1" customWidth="1"/>
    <col min="13830" max="13830" width="5.140625" style="5" bestFit="1" customWidth="1"/>
    <col min="13831" max="13831" width="15" style="5" bestFit="1" customWidth="1"/>
    <col min="13832" max="13832" width="5.140625" style="5" bestFit="1" customWidth="1"/>
    <col min="13833" max="13833" width="15" style="5" bestFit="1" customWidth="1"/>
    <col min="13834" max="13834" width="5.140625" style="5" bestFit="1" customWidth="1"/>
    <col min="13835" max="13835" width="15" style="5" bestFit="1" customWidth="1"/>
    <col min="13836" max="13836" width="2.140625" style="5" bestFit="1" customWidth="1"/>
    <col min="13837" max="13837" width="9.140625" style="5"/>
    <col min="13838" max="13838" width="11.140625" style="5" bestFit="1" customWidth="1"/>
    <col min="13839" max="14081" width="9.140625" style="5"/>
    <col min="14082" max="14082" width="14.42578125" style="5" bestFit="1" customWidth="1"/>
    <col min="14083" max="14083" width="8.7109375" style="5" bestFit="1" customWidth="1"/>
    <col min="14084" max="14084" width="36.7109375" style="5" bestFit="1" customWidth="1"/>
    <col min="14085" max="14085" width="15" style="5" bestFit="1" customWidth="1"/>
    <col min="14086" max="14086" width="5.140625" style="5" bestFit="1" customWidth="1"/>
    <col min="14087" max="14087" width="15" style="5" bestFit="1" customWidth="1"/>
    <col min="14088" max="14088" width="5.140625" style="5" bestFit="1" customWidth="1"/>
    <col min="14089" max="14089" width="15" style="5" bestFit="1" customWidth="1"/>
    <col min="14090" max="14090" width="5.140625" style="5" bestFit="1" customWidth="1"/>
    <col min="14091" max="14091" width="15" style="5" bestFit="1" customWidth="1"/>
    <col min="14092" max="14092" width="2.140625" style="5" bestFit="1" customWidth="1"/>
    <col min="14093" max="14093" width="9.140625" style="5"/>
    <col min="14094" max="14094" width="11.140625" style="5" bestFit="1" customWidth="1"/>
    <col min="14095" max="14337" width="9.140625" style="5"/>
    <col min="14338" max="14338" width="14.42578125" style="5" bestFit="1" customWidth="1"/>
    <col min="14339" max="14339" width="8.7109375" style="5" bestFit="1" customWidth="1"/>
    <col min="14340" max="14340" width="36.7109375" style="5" bestFit="1" customWidth="1"/>
    <col min="14341" max="14341" width="15" style="5" bestFit="1" customWidth="1"/>
    <col min="14342" max="14342" width="5.140625" style="5" bestFit="1" customWidth="1"/>
    <col min="14343" max="14343" width="15" style="5" bestFit="1" customWidth="1"/>
    <col min="14344" max="14344" width="5.140625" style="5" bestFit="1" customWidth="1"/>
    <col min="14345" max="14345" width="15" style="5" bestFit="1" customWidth="1"/>
    <col min="14346" max="14346" width="5.140625" style="5" bestFit="1" customWidth="1"/>
    <col min="14347" max="14347" width="15" style="5" bestFit="1" customWidth="1"/>
    <col min="14348" max="14348" width="2.140625" style="5" bestFit="1" customWidth="1"/>
    <col min="14349" max="14349" width="9.140625" style="5"/>
    <col min="14350" max="14350" width="11.140625" style="5" bestFit="1" customWidth="1"/>
    <col min="14351" max="14593" width="9.140625" style="5"/>
    <col min="14594" max="14594" width="14.42578125" style="5" bestFit="1" customWidth="1"/>
    <col min="14595" max="14595" width="8.7109375" style="5" bestFit="1" customWidth="1"/>
    <col min="14596" max="14596" width="36.7109375" style="5" bestFit="1" customWidth="1"/>
    <col min="14597" max="14597" width="15" style="5" bestFit="1" customWidth="1"/>
    <col min="14598" max="14598" width="5.140625" style="5" bestFit="1" customWidth="1"/>
    <col min="14599" max="14599" width="15" style="5" bestFit="1" customWidth="1"/>
    <col min="14600" max="14600" width="5.140625" style="5" bestFit="1" customWidth="1"/>
    <col min="14601" max="14601" width="15" style="5" bestFit="1" customWidth="1"/>
    <col min="14602" max="14602" width="5.140625" style="5" bestFit="1" customWidth="1"/>
    <col min="14603" max="14603" width="15" style="5" bestFit="1" customWidth="1"/>
    <col min="14604" max="14604" width="2.140625" style="5" bestFit="1" customWidth="1"/>
    <col min="14605" max="14605" width="9.140625" style="5"/>
    <col min="14606" max="14606" width="11.140625" style="5" bestFit="1" customWidth="1"/>
    <col min="14607" max="14849" width="9.140625" style="5"/>
    <col min="14850" max="14850" width="14.42578125" style="5" bestFit="1" customWidth="1"/>
    <col min="14851" max="14851" width="8.7109375" style="5" bestFit="1" customWidth="1"/>
    <col min="14852" max="14852" width="36.7109375" style="5" bestFit="1" customWidth="1"/>
    <col min="14853" max="14853" width="15" style="5" bestFit="1" customWidth="1"/>
    <col min="14854" max="14854" width="5.140625" style="5" bestFit="1" customWidth="1"/>
    <col min="14855" max="14855" width="15" style="5" bestFit="1" customWidth="1"/>
    <col min="14856" max="14856" width="5.140625" style="5" bestFit="1" customWidth="1"/>
    <col min="14857" max="14857" width="15" style="5" bestFit="1" customWidth="1"/>
    <col min="14858" max="14858" width="5.140625" style="5" bestFit="1" customWidth="1"/>
    <col min="14859" max="14859" width="15" style="5" bestFit="1" customWidth="1"/>
    <col min="14860" max="14860" width="2.140625" style="5" bestFit="1" customWidth="1"/>
    <col min="14861" max="14861" width="9.140625" style="5"/>
    <col min="14862" max="14862" width="11.140625" style="5" bestFit="1" customWidth="1"/>
    <col min="14863" max="15105" width="9.140625" style="5"/>
    <col min="15106" max="15106" width="14.42578125" style="5" bestFit="1" customWidth="1"/>
    <col min="15107" max="15107" width="8.7109375" style="5" bestFit="1" customWidth="1"/>
    <col min="15108" max="15108" width="36.7109375" style="5" bestFit="1" customWidth="1"/>
    <col min="15109" max="15109" width="15" style="5" bestFit="1" customWidth="1"/>
    <col min="15110" max="15110" width="5.140625" style="5" bestFit="1" customWidth="1"/>
    <col min="15111" max="15111" width="15" style="5" bestFit="1" customWidth="1"/>
    <col min="15112" max="15112" width="5.140625" style="5" bestFit="1" customWidth="1"/>
    <col min="15113" max="15113" width="15" style="5" bestFit="1" customWidth="1"/>
    <col min="15114" max="15114" width="5.140625" style="5" bestFit="1" customWidth="1"/>
    <col min="15115" max="15115" width="15" style="5" bestFit="1" customWidth="1"/>
    <col min="15116" max="15116" width="2.140625" style="5" bestFit="1" customWidth="1"/>
    <col min="15117" max="15117" width="9.140625" style="5"/>
    <col min="15118" max="15118" width="11.140625" style="5" bestFit="1" customWidth="1"/>
    <col min="15119" max="15361" width="9.140625" style="5"/>
    <col min="15362" max="15362" width="14.42578125" style="5" bestFit="1" customWidth="1"/>
    <col min="15363" max="15363" width="8.7109375" style="5" bestFit="1" customWidth="1"/>
    <col min="15364" max="15364" width="36.7109375" style="5" bestFit="1" customWidth="1"/>
    <col min="15365" max="15365" width="15" style="5" bestFit="1" customWidth="1"/>
    <col min="15366" max="15366" width="5.140625" style="5" bestFit="1" customWidth="1"/>
    <col min="15367" max="15367" width="15" style="5" bestFit="1" customWidth="1"/>
    <col min="15368" max="15368" width="5.140625" style="5" bestFit="1" customWidth="1"/>
    <col min="15369" max="15369" width="15" style="5" bestFit="1" customWidth="1"/>
    <col min="15370" max="15370" width="5.140625" style="5" bestFit="1" customWidth="1"/>
    <col min="15371" max="15371" width="15" style="5" bestFit="1" customWidth="1"/>
    <col min="15372" max="15372" width="2.140625" style="5" bestFit="1" customWidth="1"/>
    <col min="15373" max="15373" width="9.140625" style="5"/>
    <col min="15374" max="15374" width="11.140625" style="5" bestFit="1" customWidth="1"/>
    <col min="15375" max="15617" width="9.140625" style="5"/>
    <col min="15618" max="15618" width="14.42578125" style="5" bestFit="1" customWidth="1"/>
    <col min="15619" max="15619" width="8.7109375" style="5" bestFit="1" customWidth="1"/>
    <col min="15620" max="15620" width="36.7109375" style="5" bestFit="1" customWidth="1"/>
    <col min="15621" max="15621" width="15" style="5" bestFit="1" customWidth="1"/>
    <col min="15622" max="15622" width="5.140625" style="5" bestFit="1" customWidth="1"/>
    <col min="15623" max="15623" width="15" style="5" bestFit="1" customWidth="1"/>
    <col min="15624" max="15624" width="5.140625" style="5" bestFit="1" customWidth="1"/>
    <col min="15625" max="15625" width="15" style="5" bestFit="1" customWidth="1"/>
    <col min="15626" max="15626" width="5.140625" style="5" bestFit="1" customWidth="1"/>
    <col min="15627" max="15627" width="15" style="5" bestFit="1" customWidth="1"/>
    <col min="15628" max="15628" width="2.140625" style="5" bestFit="1" customWidth="1"/>
    <col min="15629" max="15629" width="9.140625" style="5"/>
    <col min="15630" max="15630" width="11.140625" style="5" bestFit="1" customWidth="1"/>
    <col min="15631" max="15873" width="9.140625" style="5"/>
    <col min="15874" max="15874" width="14.42578125" style="5" bestFit="1" customWidth="1"/>
    <col min="15875" max="15875" width="8.7109375" style="5" bestFit="1" customWidth="1"/>
    <col min="15876" max="15876" width="36.7109375" style="5" bestFit="1" customWidth="1"/>
    <col min="15877" max="15877" width="15" style="5" bestFit="1" customWidth="1"/>
    <col min="15878" max="15878" width="5.140625" style="5" bestFit="1" customWidth="1"/>
    <col min="15879" max="15879" width="15" style="5" bestFit="1" customWidth="1"/>
    <col min="15880" max="15880" width="5.140625" style="5" bestFit="1" customWidth="1"/>
    <col min="15881" max="15881" width="15" style="5" bestFit="1" customWidth="1"/>
    <col min="15882" max="15882" width="5.140625" style="5" bestFit="1" customWidth="1"/>
    <col min="15883" max="15883" width="15" style="5" bestFit="1" customWidth="1"/>
    <col min="15884" max="15884" width="2.140625" style="5" bestFit="1" customWidth="1"/>
    <col min="15885" max="15885" width="9.140625" style="5"/>
    <col min="15886" max="15886" width="11.140625" style="5" bestFit="1" customWidth="1"/>
    <col min="15887" max="16129" width="9.140625" style="5"/>
    <col min="16130" max="16130" width="14.42578125" style="5" bestFit="1" customWidth="1"/>
    <col min="16131" max="16131" width="8.7109375" style="5" bestFit="1" customWidth="1"/>
    <col min="16132" max="16132" width="36.7109375" style="5" bestFit="1" customWidth="1"/>
    <col min="16133" max="16133" width="15" style="5" bestFit="1" customWidth="1"/>
    <col min="16134" max="16134" width="5.140625" style="5" bestFit="1" customWidth="1"/>
    <col min="16135" max="16135" width="15" style="5" bestFit="1" customWidth="1"/>
    <col min="16136" max="16136" width="5.140625" style="5" bestFit="1" customWidth="1"/>
    <col min="16137" max="16137" width="15" style="5" bestFit="1" customWidth="1"/>
    <col min="16138" max="16138" width="5.140625" style="5" bestFit="1" customWidth="1"/>
    <col min="16139" max="16139" width="15" style="5" bestFit="1" customWidth="1"/>
    <col min="16140" max="16140" width="2.140625" style="5" bestFit="1" customWidth="1"/>
    <col min="16141" max="16141" width="9.140625" style="5"/>
    <col min="16142" max="16142" width="11.140625" style="5" bestFit="1" customWidth="1"/>
    <col min="16143" max="16384" width="9.140625" style="5"/>
  </cols>
  <sheetData>
    <row r="1" spans="1:16" x14ac:dyDescent="0.25">
      <c r="A1" t="s">
        <v>6</v>
      </c>
      <c r="B1" t="s">
        <v>7</v>
      </c>
      <c r="C1" t="s">
        <v>8</v>
      </c>
      <c r="D1" t="s">
        <v>9</v>
      </c>
      <c r="F1" t="s">
        <v>10</v>
      </c>
      <c r="G1">
        <v>1</v>
      </c>
      <c r="H1" t="s">
        <v>1480</v>
      </c>
      <c r="I1">
        <v>0</v>
      </c>
      <c r="J1" t="s">
        <v>1481</v>
      </c>
      <c r="N1" s="7" t="s">
        <v>13</v>
      </c>
      <c r="P1" s="7"/>
    </row>
    <row r="2" spans="1:16" x14ac:dyDescent="0.25">
      <c r="A2" t="s">
        <v>14</v>
      </c>
      <c r="B2">
        <v>-62</v>
      </c>
      <c r="H2" t="s">
        <v>15</v>
      </c>
      <c r="I2" t="s">
        <v>16</v>
      </c>
      <c r="J2" t="s">
        <v>1482</v>
      </c>
      <c r="N2" s="6" t="str">
        <f>IF(ISERROR(VLOOKUP($A2,'Plano de Contas'!#REF!,8,FALSE)),"",VLOOKUP($A2,'Plano de Contas'!#REF!,8,FALSE))</f>
        <v/>
      </c>
    </row>
    <row r="3" spans="1:16" x14ac:dyDescent="0.25">
      <c r="J3" t="s">
        <v>1483</v>
      </c>
      <c r="K3">
        <v>1</v>
      </c>
      <c r="N3" s="6" t="str">
        <f>IF(ISERROR(VLOOKUP($A3,'Plano de Contas'!#REF!,8,FALSE)),"",VLOOKUP($A3,'Plano de Contas'!#REF!,8,FALSE))</f>
        <v/>
      </c>
    </row>
    <row r="4" spans="1:16" x14ac:dyDescent="0.25">
      <c r="A4" t="s">
        <v>19</v>
      </c>
      <c r="B4" t="s">
        <v>20</v>
      </c>
      <c r="C4" t="s">
        <v>21</v>
      </c>
      <c r="D4" t="s">
        <v>22</v>
      </c>
      <c r="E4" t="s">
        <v>23</v>
      </c>
      <c r="F4" t="s">
        <v>24</v>
      </c>
      <c r="G4" t="s">
        <v>25</v>
      </c>
      <c r="H4" t="s">
        <v>26</v>
      </c>
      <c r="I4" t="s">
        <v>25</v>
      </c>
      <c r="J4" t="s">
        <v>27</v>
      </c>
      <c r="K4" t="s">
        <v>25</v>
      </c>
      <c r="L4" t="s">
        <v>28</v>
      </c>
      <c r="N4" s="6" t="str">
        <f>IF(ISERROR(VLOOKUP($A4,'Plano de Contas'!#REF!,8,FALSE)),"",VLOOKUP($A4,'Plano de Contas'!#REF!,8,FALSE))</f>
        <v/>
      </c>
    </row>
    <row r="5" spans="1:16" x14ac:dyDescent="0.25">
      <c r="A5" t="s">
        <v>29</v>
      </c>
      <c r="B5" t="s">
        <v>30</v>
      </c>
      <c r="C5" t="s">
        <v>31</v>
      </c>
      <c r="D5" t="s">
        <v>32</v>
      </c>
      <c r="E5" t="s">
        <v>33</v>
      </c>
      <c r="F5" t="s">
        <v>32</v>
      </c>
      <c r="G5" t="s">
        <v>33</v>
      </c>
      <c r="H5" t="s">
        <v>32</v>
      </c>
      <c r="I5" t="s">
        <v>33</v>
      </c>
      <c r="J5" t="s">
        <v>32</v>
      </c>
      <c r="K5" t="s">
        <v>33</v>
      </c>
      <c r="N5" s="6" t="str">
        <f>IF(ISERROR(VLOOKUP($A5,'Plano de Contas'!#REF!,8,FALSE)),"",VLOOKUP($A5,'Plano de Contas'!#REF!,8,FALSE))</f>
        <v/>
      </c>
      <c r="P5" s="6" t="str">
        <f>IF(ISERROR(VLOOKUP($A5,'Plano de Contas'!#REF!,10,FALSE)),"",VLOOKUP($A5,'Plano de Contas'!#REF!,10,FALSE))</f>
        <v/>
      </c>
    </row>
    <row r="6" spans="1:16" x14ac:dyDescent="0.25">
      <c r="J6" s="1">
        <v>2542343693.3039804</v>
      </c>
      <c r="N6" s="6" t="str">
        <f>IF(ISERROR(VLOOKUP($A6,'Plano de Contas'!#REF!,8,FALSE)),"",VLOOKUP($A6,'Plano de Contas'!#REF!,8,FALSE))</f>
        <v/>
      </c>
      <c r="P6" s="6" t="str">
        <f>IF(ISERROR(VLOOKUP($A6,'Plano de Contas'!#REF!,10,FALSE)),"",VLOOKUP($A6,'Plano de Contas'!#REF!,10,FALSE))</f>
        <v/>
      </c>
    </row>
    <row r="7" spans="1:16" x14ac:dyDescent="0.25">
      <c r="A7">
        <v>1</v>
      </c>
      <c r="B7">
        <v>1</v>
      </c>
      <c r="C7" t="s">
        <v>34</v>
      </c>
      <c r="D7" s="10">
        <v>2234016699.5</v>
      </c>
      <c r="F7" s="10">
        <v>575448152.44000006</v>
      </c>
      <c r="H7" s="10">
        <v>277168029.45999998</v>
      </c>
      <c r="I7" t="s">
        <v>35</v>
      </c>
      <c r="J7" s="10">
        <v>2532296822.48</v>
      </c>
      <c r="L7" s="1">
        <f>IF(K7="-",-J7,J7)</f>
        <v>2532296822.48</v>
      </c>
      <c r="N7" s="6" t="str">
        <f>IF(ISERROR(VLOOKUP($A7,'Plano de Contas'!#REF!,8,FALSE)),"",VLOOKUP($A7,'Plano de Contas'!#REF!,8,FALSE))</f>
        <v/>
      </c>
      <c r="P7" s="6" t="str">
        <f>IF(ISERROR(VLOOKUP($A7,'Plano de Contas'!#REF!,10,FALSE)),"",VLOOKUP($A7,'Plano de Contas'!#REF!,10,FALSE))</f>
        <v/>
      </c>
    </row>
    <row r="8" spans="1:16" x14ac:dyDescent="0.25">
      <c r="L8" s="1">
        <f t="shared" ref="L8:L71" si="0">IF(K8="-",-J8,J8)</f>
        <v>0</v>
      </c>
      <c r="N8" s="6" t="str">
        <f>IF(ISERROR(VLOOKUP($A8,'Plano de Contas'!#REF!,8,FALSE)),"",VLOOKUP($A8,'Plano de Contas'!#REF!,8,FALSE))</f>
        <v/>
      </c>
      <c r="P8" s="6" t="str">
        <f>IF(ISERROR(VLOOKUP($A8,'Plano de Contas'!#REF!,10,FALSE)),"",VLOOKUP($A8,'Plano de Contas'!#REF!,10,FALSE))</f>
        <v/>
      </c>
    </row>
    <row r="9" spans="1:16" x14ac:dyDescent="0.25">
      <c r="A9" t="s">
        <v>36</v>
      </c>
      <c r="B9">
        <v>2</v>
      </c>
      <c r="C9" t="s">
        <v>37</v>
      </c>
      <c r="D9" s="10">
        <v>93714917.790000007</v>
      </c>
      <c r="F9" s="10">
        <v>293808585.08999997</v>
      </c>
      <c r="H9" s="10">
        <v>271654499.11000001</v>
      </c>
      <c r="I9" t="s">
        <v>35</v>
      </c>
      <c r="J9" s="10">
        <v>115869003.77</v>
      </c>
      <c r="L9" s="1">
        <f t="shared" si="0"/>
        <v>115869003.77</v>
      </c>
      <c r="N9" s="6" t="str">
        <f>IF(ISERROR(VLOOKUP($A9,'Plano de Contas'!#REF!,8,FALSE)),"",VLOOKUP($A9,'Plano de Contas'!#REF!,8,FALSE))</f>
        <v/>
      </c>
      <c r="P9" s="6" t="str">
        <f>IF(ISERROR(VLOOKUP($A9,'Plano de Contas'!#REF!,10,FALSE)),"",VLOOKUP($A9,'Plano de Contas'!#REF!,10,FALSE))</f>
        <v/>
      </c>
    </row>
    <row r="10" spans="1:16" x14ac:dyDescent="0.25">
      <c r="L10" s="1">
        <f t="shared" si="0"/>
        <v>0</v>
      </c>
      <c r="N10" s="6" t="str">
        <f>IF(ISERROR(VLOOKUP($A10,'Plano de Contas'!#REF!,8,FALSE)),"",VLOOKUP($A10,'Plano de Contas'!#REF!,8,FALSE))</f>
        <v/>
      </c>
      <c r="P10" s="6" t="str">
        <f>IF(ISERROR(VLOOKUP($A10,'Plano de Contas'!#REF!,10,FALSE)),"",VLOOKUP($A10,'Plano de Contas'!#REF!,10,FALSE))</f>
        <v/>
      </c>
    </row>
    <row r="11" spans="1:16" x14ac:dyDescent="0.25">
      <c r="A11" t="s">
        <v>38</v>
      </c>
      <c r="B11">
        <v>3</v>
      </c>
      <c r="C11" t="s">
        <v>39</v>
      </c>
      <c r="D11" s="10">
        <v>61264013.079999998</v>
      </c>
      <c r="F11" s="10">
        <v>281988422.95999998</v>
      </c>
      <c r="H11" s="10">
        <v>260919273.41</v>
      </c>
      <c r="I11" t="s">
        <v>35</v>
      </c>
      <c r="J11" s="10">
        <v>82333162.629999995</v>
      </c>
      <c r="L11" s="1">
        <f t="shared" si="0"/>
        <v>82333162.629999995</v>
      </c>
      <c r="N11" s="6" t="str">
        <f>IF(ISERROR(VLOOKUP($A11,'Plano de Contas'!#REF!,8,FALSE)),"",VLOOKUP($A11,'Plano de Contas'!#REF!,8,FALSE))</f>
        <v/>
      </c>
      <c r="P11" s="6" t="str">
        <f>IF(ISERROR(VLOOKUP($A11,'Plano de Contas'!#REF!,10,FALSE)),"",VLOOKUP($A11,'Plano de Contas'!#REF!,10,FALSE))</f>
        <v/>
      </c>
    </row>
    <row r="12" spans="1:16" x14ac:dyDescent="0.25">
      <c r="L12" s="1">
        <f t="shared" si="0"/>
        <v>0</v>
      </c>
      <c r="N12" s="6" t="str">
        <f>IF(ISERROR(VLOOKUP($A12,'Plano de Contas'!#REF!,8,FALSE)),"",VLOOKUP($A12,'Plano de Contas'!#REF!,8,FALSE))</f>
        <v/>
      </c>
      <c r="P12" s="6" t="str">
        <f>IF(ISERROR(VLOOKUP($A12,'Plano de Contas'!#REF!,10,FALSE)),"",VLOOKUP($A12,'Plano de Contas'!#REF!,10,FALSE))</f>
        <v/>
      </c>
    </row>
    <row r="13" spans="1:16" x14ac:dyDescent="0.25">
      <c r="A13" t="s">
        <v>40</v>
      </c>
      <c r="B13">
        <v>4</v>
      </c>
      <c r="C13" t="s">
        <v>41</v>
      </c>
      <c r="D13">
        <v>0</v>
      </c>
      <c r="F13" s="10">
        <v>3110</v>
      </c>
      <c r="H13">
        <v>0</v>
      </c>
      <c r="J13" s="10">
        <v>3110</v>
      </c>
      <c r="L13" s="1">
        <f t="shared" si="0"/>
        <v>3110</v>
      </c>
      <c r="N13" s="6" t="str">
        <f>IF(ISERROR(VLOOKUP($A13,'Plano de Contas'!#REF!,8,FALSE)),"",VLOOKUP($A13,'Plano de Contas'!#REF!,8,FALSE))</f>
        <v/>
      </c>
      <c r="P13" s="6" t="str">
        <f>IF(ISERROR(VLOOKUP($A13,'Plano de Contas'!#REF!,10,FALSE)),"",VLOOKUP($A13,'Plano de Contas'!#REF!,10,FALSE))</f>
        <v/>
      </c>
    </row>
    <row r="14" spans="1:16" x14ac:dyDescent="0.25">
      <c r="A14" t="s">
        <v>42</v>
      </c>
      <c r="B14">
        <v>6</v>
      </c>
      <c r="C14" t="s">
        <v>43</v>
      </c>
      <c r="D14">
        <v>0</v>
      </c>
      <c r="F14" s="10">
        <v>3110</v>
      </c>
      <c r="H14">
        <v>0</v>
      </c>
      <c r="J14" s="10">
        <v>3110</v>
      </c>
      <c r="L14" s="1">
        <f t="shared" si="0"/>
        <v>3110</v>
      </c>
      <c r="N14" s="6" t="str">
        <f>IF(ISERROR(VLOOKUP($A14,'Plano de Contas'!#REF!,8,FALSE)),"",VLOOKUP($A14,'Plano de Contas'!#REF!,8,FALSE))</f>
        <v/>
      </c>
      <c r="P14" s="6" t="str">
        <f>IF(ISERROR(VLOOKUP($A14,'Plano de Contas'!#REF!,10,FALSE)),"",VLOOKUP($A14,'Plano de Contas'!#REF!,10,FALSE))</f>
        <v/>
      </c>
    </row>
    <row r="15" spans="1:16" x14ac:dyDescent="0.25">
      <c r="L15" s="1">
        <f t="shared" si="0"/>
        <v>0</v>
      </c>
      <c r="N15" s="6" t="str">
        <f>IF(ISERROR(VLOOKUP($A15,'Plano de Contas'!#REF!,8,FALSE)),"",VLOOKUP($A15,'Plano de Contas'!#REF!,8,FALSE))</f>
        <v/>
      </c>
      <c r="P15" s="6" t="str">
        <f>IF(ISERROR(VLOOKUP($A15,'Plano de Contas'!#REF!,10,FALSE)),"",VLOOKUP($A15,'Plano de Contas'!#REF!,10,FALSE))</f>
        <v/>
      </c>
    </row>
    <row r="16" spans="1:16" x14ac:dyDescent="0.25">
      <c r="A16" t="s">
        <v>44</v>
      </c>
      <c r="B16">
        <v>7</v>
      </c>
      <c r="C16" t="s">
        <v>45</v>
      </c>
      <c r="D16" s="10">
        <v>47101882.560000002</v>
      </c>
      <c r="F16" s="10">
        <v>229328309.5</v>
      </c>
      <c r="H16" s="10">
        <v>218605560.16</v>
      </c>
      <c r="I16" t="s">
        <v>35</v>
      </c>
      <c r="J16" s="10">
        <v>57824631.899999999</v>
      </c>
      <c r="L16" s="1">
        <f t="shared" si="0"/>
        <v>57824631.899999999</v>
      </c>
      <c r="N16" s="6" t="str">
        <f>IF(ISERROR(VLOOKUP($A16,'Plano de Contas'!#REF!,8,FALSE)),"",VLOOKUP($A16,'Plano de Contas'!#REF!,8,FALSE))</f>
        <v/>
      </c>
      <c r="P16" s="6" t="str">
        <f>IF(ISERROR(VLOOKUP($A16,'Plano de Contas'!#REF!,10,FALSE)),"",VLOOKUP($A16,'Plano de Contas'!#REF!,10,FALSE))</f>
        <v/>
      </c>
    </row>
    <row r="17" spans="1:16" x14ac:dyDescent="0.25">
      <c r="A17" t="s">
        <v>46</v>
      </c>
      <c r="B17">
        <v>11</v>
      </c>
      <c r="C17" t="s">
        <v>47</v>
      </c>
      <c r="D17">
        <v>0.01</v>
      </c>
      <c r="F17">
        <v>0</v>
      </c>
      <c r="H17">
        <v>0</v>
      </c>
      <c r="J17">
        <v>0.01</v>
      </c>
      <c r="L17" s="1">
        <f t="shared" si="0"/>
        <v>0.01</v>
      </c>
      <c r="N17" s="6" t="str">
        <f>IF(ISERROR(VLOOKUP($A17,'Plano de Contas'!#REF!,8,FALSE)),"",VLOOKUP($A17,'Plano de Contas'!#REF!,8,FALSE))</f>
        <v/>
      </c>
      <c r="P17" s="6" t="str">
        <f>IF(ISERROR(VLOOKUP($A17,'Plano de Contas'!#REF!,10,FALSE)),"",VLOOKUP($A17,'Plano de Contas'!#REF!,10,FALSE))</f>
        <v/>
      </c>
    </row>
    <row r="18" spans="1:16" x14ac:dyDescent="0.25">
      <c r="A18" t="s">
        <v>48</v>
      </c>
      <c r="B18">
        <v>12</v>
      </c>
      <c r="C18" t="s">
        <v>49</v>
      </c>
      <c r="D18" s="10">
        <v>28970.49</v>
      </c>
      <c r="F18" s="10">
        <v>3248197.53</v>
      </c>
      <c r="H18" s="10">
        <v>3247666.74</v>
      </c>
      <c r="I18" t="s">
        <v>35</v>
      </c>
      <c r="J18" s="10">
        <v>29501.279999999999</v>
      </c>
      <c r="L18" s="1">
        <f t="shared" si="0"/>
        <v>29501.279999999999</v>
      </c>
      <c r="N18" s="6" t="str">
        <f>IF(ISERROR(VLOOKUP($A18,'Plano de Contas'!#REF!,8,FALSE)),"",VLOOKUP($A18,'Plano de Contas'!#REF!,8,FALSE))</f>
        <v/>
      </c>
      <c r="P18" s="6" t="str">
        <f>IF(ISERROR(VLOOKUP($A18,'Plano de Contas'!#REF!,10,FALSE)),"",VLOOKUP($A18,'Plano de Contas'!#REF!,10,FALSE))</f>
        <v/>
      </c>
    </row>
    <row r="19" spans="1:16" x14ac:dyDescent="0.25">
      <c r="A19" t="s">
        <v>50</v>
      </c>
      <c r="B19">
        <v>14</v>
      </c>
      <c r="C19" t="s">
        <v>51</v>
      </c>
      <c r="D19">
        <v>17.86</v>
      </c>
      <c r="F19">
        <v>0</v>
      </c>
      <c r="H19">
        <v>0</v>
      </c>
      <c r="J19">
        <v>17.86</v>
      </c>
      <c r="L19" s="1">
        <f t="shared" si="0"/>
        <v>17.86</v>
      </c>
      <c r="N19" s="6" t="str">
        <f>IF(ISERROR(VLOOKUP($A19,'Plano de Contas'!#REF!,8,FALSE)),"",VLOOKUP($A19,'Plano de Contas'!#REF!,8,FALSE))</f>
        <v/>
      </c>
      <c r="P19" s="6" t="str">
        <f>IF(ISERROR(VLOOKUP($A19,'Plano de Contas'!#REF!,10,FALSE)),"",VLOOKUP($A19,'Plano de Contas'!#REF!,10,FALSE))</f>
        <v/>
      </c>
    </row>
    <row r="20" spans="1:16" x14ac:dyDescent="0.25">
      <c r="A20" t="s">
        <v>52</v>
      </c>
      <c r="B20">
        <v>544</v>
      </c>
      <c r="C20" t="s">
        <v>53</v>
      </c>
      <c r="D20">
        <v>0</v>
      </c>
      <c r="F20" s="10">
        <v>2062465.46</v>
      </c>
      <c r="H20" s="10">
        <v>2062465.46</v>
      </c>
      <c r="I20" t="s">
        <v>35</v>
      </c>
      <c r="J20">
        <v>0</v>
      </c>
      <c r="L20" s="1">
        <f t="shared" si="0"/>
        <v>0</v>
      </c>
      <c r="N20" s="6" t="str">
        <f>IF(ISERROR(VLOOKUP($A20,'Plano de Contas'!#REF!,8,FALSE)),"",VLOOKUP($A20,'Plano de Contas'!#REF!,8,FALSE))</f>
        <v/>
      </c>
      <c r="P20" s="6" t="str">
        <f>IF(ISERROR(VLOOKUP($A20,'Plano de Contas'!#REF!,10,FALSE)),"",VLOOKUP($A20,'Plano de Contas'!#REF!,10,FALSE))</f>
        <v/>
      </c>
    </row>
    <row r="21" spans="1:16" x14ac:dyDescent="0.25">
      <c r="A21" t="s">
        <v>54</v>
      </c>
      <c r="B21">
        <v>561</v>
      </c>
      <c r="C21" t="s">
        <v>55</v>
      </c>
      <c r="D21">
        <v>50.4</v>
      </c>
      <c r="F21">
        <v>0</v>
      </c>
      <c r="H21">
        <v>0</v>
      </c>
      <c r="J21">
        <v>50.4</v>
      </c>
      <c r="L21" s="1">
        <f t="shared" si="0"/>
        <v>50.4</v>
      </c>
      <c r="N21" s="6" t="str">
        <f>IF(ISERROR(VLOOKUP($A21,'Plano de Contas'!#REF!,8,FALSE)),"",VLOOKUP($A21,'Plano de Contas'!#REF!,8,FALSE))</f>
        <v/>
      </c>
      <c r="P21" s="6" t="str">
        <f>IF(ISERROR(VLOOKUP($A21,'Plano de Contas'!#REF!,10,FALSE)),"",VLOOKUP($A21,'Plano de Contas'!#REF!,10,FALSE))</f>
        <v/>
      </c>
    </row>
    <row r="22" spans="1:16" x14ac:dyDescent="0.25">
      <c r="A22" t="s">
        <v>56</v>
      </c>
      <c r="B22">
        <v>583</v>
      </c>
      <c r="C22" t="s">
        <v>57</v>
      </c>
      <c r="D22" s="10">
        <v>3796661.35</v>
      </c>
      <c r="F22">
        <v>0</v>
      </c>
      <c r="H22" s="10">
        <v>2062465.46</v>
      </c>
      <c r="I22" t="s">
        <v>35</v>
      </c>
      <c r="J22" s="10">
        <v>1734195.89</v>
      </c>
      <c r="L22" s="1">
        <f t="shared" si="0"/>
        <v>1734195.89</v>
      </c>
      <c r="N22" s="6" t="str">
        <f>IF(ISERROR(VLOOKUP($A22,'Plano de Contas'!#REF!,8,FALSE)),"",VLOOKUP($A22,'Plano de Contas'!#REF!,8,FALSE))</f>
        <v/>
      </c>
      <c r="P22" s="6" t="str">
        <f>IF(ISERROR(VLOOKUP($A22,'Plano de Contas'!#REF!,10,FALSE)),"",VLOOKUP($A22,'Plano de Contas'!#REF!,10,FALSE))</f>
        <v/>
      </c>
    </row>
    <row r="23" spans="1:16" x14ac:dyDescent="0.25">
      <c r="A23" t="s">
        <v>1447</v>
      </c>
      <c r="B23">
        <v>641</v>
      </c>
      <c r="C23" t="s">
        <v>1448</v>
      </c>
      <c r="D23">
        <v>131.4</v>
      </c>
      <c r="E23" t="s">
        <v>35</v>
      </c>
      <c r="F23">
        <v>0</v>
      </c>
      <c r="H23">
        <v>0</v>
      </c>
      <c r="J23">
        <v>131.4</v>
      </c>
      <c r="K23" t="s">
        <v>35</v>
      </c>
      <c r="L23" s="1">
        <f t="shared" si="0"/>
        <v>-131.4</v>
      </c>
      <c r="N23" s="6" t="str">
        <f>IF(ISERROR(VLOOKUP($A23,'Plano de Contas'!#REF!,8,FALSE)),"",VLOOKUP($A23,'Plano de Contas'!#REF!,8,FALSE))</f>
        <v/>
      </c>
      <c r="P23" s="6" t="str">
        <f>IF(ISERROR(VLOOKUP($A23,'Plano de Contas'!#REF!,10,FALSE)),"",VLOOKUP($A23,'Plano de Contas'!#REF!,10,FALSE))</f>
        <v/>
      </c>
    </row>
    <row r="24" spans="1:16" x14ac:dyDescent="0.25">
      <c r="A24" t="s">
        <v>58</v>
      </c>
      <c r="B24">
        <v>694</v>
      </c>
      <c r="C24" t="s">
        <v>59</v>
      </c>
      <c r="D24" s="10">
        <v>3365093.43</v>
      </c>
      <c r="E24" t="s">
        <v>35</v>
      </c>
      <c r="F24" s="10">
        <v>40500468.549999997</v>
      </c>
      <c r="H24" s="10">
        <v>37132099.289999999</v>
      </c>
      <c r="I24" t="s">
        <v>35</v>
      </c>
      <c r="J24" s="10">
        <v>3275.83</v>
      </c>
      <c r="L24" s="1">
        <f t="shared" si="0"/>
        <v>3275.83</v>
      </c>
      <c r="N24" s="6" t="str">
        <f>IF(ISERROR(VLOOKUP($A24,'Plano de Contas'!#REF!,8,FALSE)),"",VLOOKUP($A24,'Plano de Contas'!#REF!,8,FALSE))</f>
        <v/>
      </c>
      <c r="P24" s="6" t="str">
        <f>IF(ISERROR(VLOOKUP($A24,'Plano de Contas'!#REF!,10,FALSE)),"",VLOOKUP($A24,'Plano de Contas'!#REF!,10,FALSE))</f>
        <v/>
      </c>
    </row>
    <row r="25" spans="1:16" x14ac:dyDescent="0.25">
      <c r="A25" t="s">
        <v>60</v>
      </c>
      <c r="B25">
        <v>699</v>
      </c>
      <c r="C25" t="s">
        <v>61</v>
      </c>
      <c r="D25" s="10">
        <v>51348.29</v>
      </c>
      <c r="F25">
        <v>0</v>
      </c>
      <c r="H25">
        <v>0</v>
      </c>
      <c r="J25" s="10">
        <v>51348.29</v>
      </c>
      <c r="L25" s="1">
        <f t="shared" si="0"/>
        <v>51348.29</v>
      </c>
      <c r="N25" s="6" t="str">
        <f>IF(ISERROR(VLOOKUP($A25,'Plano de Contas'!#REF!,8,FALSE)),"",VLOOKUP($A25,'Plano de Contas'!#REF!,8,FALSE))</f>
        <v/>
      </c>
      <c r="P25" s="6" t="str">
        <f>IF(ISERROR(VLOOKUP($A25,'Plano de Contas'!#REF!,10,FALSE)),"",VLOOKUP($A25,'Plano de Contas'!#REF!,10,FALSE))</f>
        <v/>
      </c>
    </row>
    <row r="26" spans="1:16" x14ac:dyDescent="0.25">
      <c r="A26" t="s">
        <v>62</v>
      </c>
      <c r="B26">
        <v>725</v>
      </c>
      <c r="C26" t="s">
        <v>63</v>
      </c>
      <c r="D26" s="10">
        <v>4336712.83</v>
      </c>
      <c r="F26" s="10">
        <v>8957232.8699999992</v>
      </c>
      <c r="H26" s="10">
        <v>10158335.77</v>
      </c>
      <c r="I26" t="s">
        <v>35</v>
      </c>
      <c r="J26" s="10">
        <v>3135609.93</v>
      </c>
      <c r="L26" s="1">
        <f t="shared" si="0"/>
        <v>3135609.93</v>
      </c>
      <c r="N26" s="6" t="str">
        <f>IF(ISERROR(VLOOKUP($A26,'Plano de Contas'!#REF!,8,FALSE)),"",VLOOKUP($A26,'Plano de Contas'!#REF!,8,FALSE))</f>
        <v/>
      </c>
      <c r="P26" s="6" t="str">
        <f>IF(ISERROR(VLOOKUP($A26,'Plano de Contas'!#REF!,10,FALSE)),"",VLOOKUP($A26,'Plano de Contas'!#REF!,10,FALSE))</f>
        <v/>
      </c>
    </row>
    <row r="27" spans="1:16" x14ac:dyDescent="0.25">
      <c r="A27" t="s">
        <v>1449</v>
      </c>
      <c r="B27">
        <v>726</v>
      </c>
      <c r="C27" t="s">
        <v>1450</v>
      </c>
      <c r="D27" s="10">
        <v>36408.85</v>
      </c>
      <c r="F27">
        <v>0</v>
      </c>
      <c r="H27">
        <v>0</v>
      </c>
      <c r="J27" s="10">
        <v>36408.85</v>
      </c>
      <c r="L27" s="1">
        <f t="shared" si="0"/>
        <v>36408.85</v>
      </c>
      <c r="N27" s="6" t="str">
        <f>IF(ISERROR(VLOOKUP($A27,'Plano de Contas'!#REF!,8,FALSE)),"",VLOOKUP($A27,'Plano de Contas'!#REF!,8,FALSE))</f>
        <v/>
      </c>
      <c r="P27" s="6" t="str">
        <f>IF(ISERROR(VLOOKUP($A27,'Plano de Contas'!#REF!,10,FALSE)),"",VLOOKUP($A27,'Plano de Contas'!#REF!,10,FALSE))</f>
        <v/>
      </c>
    </row>
    <row r="28" spans="1:16" x14ac:dyDescent="0.25">
      <c r="A28" t="s">
        <v>64</v>
      </c>
      <c r="B28">
        <v>727</v>
      </c>
      <c r="C28" t="s">
        <v>65</v>
      </c>
      <c r="D28" s="10">
        <v>2307260.0099999998</v>
      </c>
      <c r="F28" s="10">
        <v>1197389.54</v>
      </c>
      <c r="H28" s="10">
        <v>3500000</v>
      </c>
      <c r="I28" t="s">
        <v>35</v>
      </c>
      <c r="J28" s="10">
        <v>4649.55</v>
      </c>
      <c r="L28" s="1">
        <f t="shared" si="0"/>
        <v>4649.55</v>
      </c>
      <c r="N28" s="6" t="str">
        <f>IF(ISERROR(VLOOKUP($A28,'Plano de Contas'!#REF!,8,FALSE)),"",VLOOKUP($A28,'Plano de Contas'!#REF!,8,FALSE))</f>
        <v/>
      </c>
      <c r="P28" s="6" t="str">
        <f>IF(ISERROR(VLOOKUP($A28,'Plano de Contas'!#REF!,10,FALSE)),"",VLOOKUP($A28,'Plano de Contas'!#REF!,10,FALSE))</f>
        <v/>
      </c>
    </row>
    <row r="29" spans="1:16" x14ac:dyDescent="0.25">
      <c r="A29" t="s">
        <v>66</v>
      </c>
      <c r="B29">
        <v>728</v>
      </c>
      <c r="C29" t="s">
        <v>67</v>
      </c>
      <c r="D29" s="10">
        <v>35165.269999999997</v>
      </c>
      <c r="F29" s="10">
        <v>42746685.299999997</v>
      </c>
      <c r="H29" s="10">
        <v>27272653.120000001</v>
      </c>
      <c r="I29" t="s">
        <v>35</v>
      </c>
      <c r="J29" s="10">
        <v>15509197.449999999</v>
      </c>
      <c r="L29" s="1">
        <f t="shared" si="0"/>
        <v>15509197.449999999</v>
      </c>
      <c r="N29" s="6" t="str">
        <f>IF(ISERROR(VLOOKUP($A29,'Plano de Contas'!#REF!,8,FALSE)),"",VLOOKUP($A29,'Plano de Contas'!#REF!,8,FALSE))</f>
        <v/>
      </c>
      <c r="P29" s="6" t="str">
        <f>IF(ISERROR(VLOOKUP($A29,'Plano de Contas'!#REF!,10,FALSE)),"",VLOOKUP($A29,'Plano de Contas'!#REF!,10,FALSE))</f>
        <v/>
      </c>
    </row>
    <row r="30" spans="1:16" x14ac:dyDescent="0.25">
      <c r="A30" t="s">
        <v>68</v>
      </c>
      <c r="B30">
        <v>730</v>
      </c>
      <c r="C30" t="s">
        <v>69</v>
      </c>
      <c r="D30" s="10">
        <v>334349.34000000003</v>
      </c>
      <c r="F30" s="10">
        <v>12116000.02</v>
      </c>
      <c r="H30" s="10">
        <v>4742507.42</v>
      </c>
      <c r="I30" t="s">
        <v>35</v>
      </c>
      <c r="J30" s="10">
        <v>7707841.9400000004</v>
      </c>
      <c r="L30" s="1">
        <f t="shared" si="0"/>
        <v>7707841.9400000004</v>
      </c>
      <c r="N30" s="6" t="str">
        <f>IF(ISERROR(VLOOKUP($A30,'Plano de Contas'!#REF!,8,FALSE)),"",VLOOKUP($A30,'Plano de Contas'!#REF!,8,FALSE))</f>
        <v/>
      </c>
      <c r="P30" s="6" t="str">
        <f>IF(ISERROR(VLOOKUP($A30,'Plano de Contas'!#REF!,10,FALSE)),"",VLOOKUP($A30,'Plano de Contas'!#REF!,10,FALSE))</f>
        <v/>
      </c>
    </row>
    <row r="31" spans="1:16" x14ac:dyDescent="0.25">
      <c r="A31" t="s">
        <v>70</v>
      </c>
      <c r="B31">
        <v>736</v>
      </c>
      <c r="C31" t="s">
        <v>71</v>
      </c>
      <c r="D31">
        <v>525.76</v>
      </c>
      <c r="F31">
        <v>0</v>
      </c>
      <c r="H31">
        <v>0</v>
      </c>
      <c r="J31">
        <v>525.76</v>
      </c>
      <c r="L31" s="1">
        <f t="shared" si="0"/>
        <v>525.76</v>
      </c>
      <c r="N31" s="6" t="str">
        <f>IF(ISERROR(VLOOKUP($A31,'Plano de Contas'!#REF!,8,FALSE)),"",VLOOKUP($A31,'Plano de Contas'!#REF!,8,FALSE))</f>
        <v/>
      </c>
      <c r="P31" s="6" t="str">
        <f>IF(ISERROR(VLOOKUP($A31,'Plano de Contas'!#REF!,10,FALSE)),"",VLOOKUP($A31,'Plano de Contas'!#REF!,10,FALSE))</f>
        <v/>
      </c>
    </row>
    <row r="32" spans="1:16" x14ac:dyDescent="0.25">
      <c r="A32" t="s">
        <v>72</v>
      </c>
      <c r="B32">
        <v>832</v>
      </c>
      <c r="C32" t="s">
        <v>73</v>
      </c>
      <c r="D32" s="10">
        <v>49078.63</v>
      </c>
      <c r="F32" s="10">
        <v>14530921.369999999</v>
      </c>
      <c r="H32" s="10">
        <v>14580000</v>
      </c>
      <c r="I32" t="s">
        <v>35</v>
      </c>
      <c r="J32">
        <v>0</v>
      </c>
      <c r="L32" s="1">
        <f t="shared" si="0"/>
        <v>0</v>
      </c>
      <c r="N32" s="6" t="str">
        <f>IF(ISERROR(VLOOKUP($A32,'Plano de Contas'!#REF!,8,FALSE)),"",VLOOKUP($A32,'Plano de Contas'!#REF!,8,FALSE))</f>
        <v/>
      </c>
      <c r="P32" s="6" t="str">
        <f>IF(ISERROR(VLOOKUP($A32,'Plano de Contas'!#REF!,10,FALSE)),"",VLOOKUP($A32,'Plano de Contas'!#REF!,10,FALSE))</f>
        <v/>
      </c>
    </row>
    <row r="33" spans="1:16" x14ac:dyDescent="0.25">
      <c r="A33" t="s">
        <v>74</v>
      </c>
      <c r="B33">
        <v>900</v>
      </c>
      <c r="C33" t="s">
        <v>75</v>
      </c>
      <c r="D33" s="10">
        <v>14703760.58</v>
      </c>
      <c r="F33">
        <v>0</v>
      </c>
      <c r="H33" s="10">
        <v>14530921.369999999</v>
      </c>
      <c r="I33" t="s">
        <v>35</v>
      </c>
      <c r="J33" s="10">
        <v>172839.21</v>
      </c>
      <c r="L33" s="1">
        <f t="shared" si="0"/>
        <v>172839.21</v>
      </c>
      <c r="N33" s="6" t="str">
        <f>IF(ISERROR(VLOOKUP($A33,'Plano de Contas'!#REF!,8,FALSE)),"",VLOOKUP($A33,'Plano de Contas'!#REF!,8,FALSE))</f>
        <v/>
      </c>
      <c r="P33" s="6" t="str">
        <f>IF(ISERROR(VLOOKUP($A33,'Plano de Contas'!#REF!,10,FALSE)),"",VLOOKUP($A33,'Plano de Contas'!#REF!,10,FALSE))</f>
        <v/>
      </c>
    </row>
    <row r="34" spans="1:16" x14ac:dyDescent="0.25">
      <c r="A34" t="s">
        <v>76</v>
      </c>
      <c r="B34">
        <v>919</v>
      </c>
      <c r="C34" t="s">
        <v>77</v>
      </c>
      <c r="D34" s="10">
        <v>2441428.5699999998</v>
      </c>
      <c r="F34" s="10">
        <v>144374.85999999999</v>
      </c>
      <c r="H34" s="10">
        <v>2569655.9</v>
      </c>
      <c r="I34" t="s">
        <v>35</v>
      </c>
      <c r="J34" s="10">
        <v>16147.53</v>
      </c>
      <c r="L34" s="1">
        <f t="shared" si="0"/>
        <v>16147.53</v>
      </c>
      <c r="N34" s="6" t="str">
        <f>IF(ISERROR(VLOOKUP($A34,'Plano de Contas'!#REF!,8,FALSE)),"",VLOOKUP($A34,'Plano de Contas'!#REF!,8,FALSE))</f>
        <v/>
      </c>
      <c r="P34" s="6" t="str">
        <f>IF(ISERROR(VLOOKUP($A34,'Plano de Contas'!#REF!,10,FALSE)),"",VLOOKUP($A34,'Plano de Contas'!#REF!,10,FALSE))</f>
        <v/>
      </c>
    </row>
    <row r="35" spans="1:16" x14ac:dyDescent="0.25">
      <c r="A35" t="s">
        <v>78</v>
      </c>
      <c r="B35">
        <v>920</v>
      </c>
      <c r="C35" t="s">
        <v>79</v>
      </c>
      <c r="D35" s="10">
        <v>22345369.149999999</v>
      </c>
      <c r="F35" s="10">
        <v>103824574</v>
      </c>
      <c r="H35" s="10">
        <v>96746789.629999995</v>
      </c>
      <c r="I35" t="s">
        <v>35</v>
      </c>
      <c r="J35" s="10">
        <v>29423153.52</v>
      </c>
      <c r="L35" s="1">
        <f t="shared" si="0"/>
        <v>29423153.52</v>
      </c>
      <c r="N35" s="6" t="str">
        <f>IF(ISERROR(VLOOKUP($A35,'Plano de Contas'!#REF!,8,FALSE)),"",VLOOKUP($A35,'Plano de Contas'!#REF!,8,FALSE))</f>
        <v/>
      </c>
      <c r="P35" s="6" t="str">
        <f>IF(ISERROR(VLOOKUP($A35,'Plano de Contas'!#REF!,10,FALSE)),"",VLOOKUP($A35,'Plano de Contas'!#REF!,10,FALSE))</f>
        <v/>
      </c>
    </row>
    <row r="36" spans="1:16" x14ac:dyDescent="0.25">
      <c r="L36" s="1">
        <f t="shared" si="0"/>
        <v>0</v>
      </c>
      <c r="N36" s="6" t="str">
        <f>IF(ISERROR(VLOOKUP($A36,'Plano de Contas'!#REF!,8,FALSE)),"",VLOOKUP($A36,'Plano de Contas'!#REF!,8,FALSE))</f>
        <v/>
      </c>
      <c r="P36" s="6" t="str">
        <f>IF(ISERROR(VLOOKUP($A36,'Plano de Contas'!#REF!,10,FALSE)),"",VLOOKUP($A36,'Plano de Contas'!#REF!,10,FALSE))</f>
        <v/>
      </c>
    </row>
    <row r="37" spans="1:16" x14ac:dyDescent="0.25">
      <c r="A37" t="s">
        <v>88</v>
      </c>
      <c r="B37">
        <v>17</v>
      </c>
      <c r="C37" t="s">
        <v>89</v>
      </c>
      <c r="D37" s="10">
        <v>14162130.52</v>
      </c>
      <c r="F37" s="10">
        <v>52657003.460000001</v>
      </c>
      <c r="H37" s="10">
        <v>42313713.25</v>
      </c>
      <c r="I37" t="s">
        <v>35</v>
      </c>
      <c r="J37" s="10">
        <v>24505420.73</v>
      </c>
      <c r="L37" s="1">
        <f t="shared" si="0"/>
        <v>24505420.73</v>
      </c>
      <c r="N37" s="6" t="str">
        <f>IF(ISERROR(VLOOKUP($A37,'Plano de Contas'!#REF!,8,FALSE)),"",VLOOKUP($A37,'Plano de Contas'!#REF!,8,FALSE))</f>
        <v/>
      </c>
      <c r="P37" s="6" t="str">
        <f>IF(ISERROR(VLOOKUP($A37,'Plano de Contas'!#REF!,10,FALSE)),"",VLOOKUP($A37,'Plano de Contas'!#REF!,10,FALSE))</f>
        <v/>
      </c>
    </row>
    <row r="38" spans="1:16" x14ac:dyDescent="0.25">
      <c r="A38" t="s">
        <v>1451</v>
      </c>
      <c r="B38">
        <v>696</v>
      </c>
      <c r="C38" t="s">
        <v>1452</v>
      </c>
      <c r="D38">
        <v>0</v>
      </c>
      <c r="F38" s="10">
        <v>19548364.399999999</v>
      </c>
      <c r="H38" s="10">
        <v>17583734.890000001</v>
      </c>
      <c r="I38" t="s">
        <v>35</v>
      </c>
      <c r="J38" s="10">
        <v>1964629.51</v>
      </c>
      <c r="L38" s="1">
        <f t="shared" si="0"/>
        <v>1964629.51</v>
      </c>
      <c r="N38" s="6" t="str">
        <f>IF(ISERROR(VLOOKUP($A38,'Plano de Contas'!#REF!,8,FALSE)),"",VLOOKUP($A38,'Plano de Contas'!#REF!,8,FALSE))</f>
        <v/>
      </c>
      <c r="P38" s="6" t="str">
        <f>IF(ISERROR(VLOOKUP($A38,'Plano de Contas'!#REF!,10,FALSE)),"",VLOOKUP($A38,'Plano de Contas'!#REF!,10,FALSE))</f>
        <v/>
      </c>
    </row>
    <row r="39" spans="1:16" x14ac:dyDescent="0.25">
      <c r="A39" t="s">
        <v>989</v>
      </c>
      <c r="B39">
        <v>729</v>
      </c>
      <c r="C39" t="s">
        <v>990</v>
      </c>
      <c r="D39" s="10">
        <v>1838331.82</v>
      </c>
      <c r="F39" s="10">
        <v>9988.9599999999991</v>
      </c>
      <c r="H39" s="10">
        <v>1997.79</v>
      </c>
      <c r="I39" t="s">
        <v>35</v>
      </c>
      <c r="J39" s="10">
        <v>1846322.99</v>
      </c>
      <c r="L39" s="1">
        <f t="shared" si="0"/>
        <v>1846322.99</v>
      </c>
      <c r="N39" s="6" t="str">
        <f>IF(ISERROR(VLOOKUP($A39,'Plano de Contas'!#REF!,8,FALSE)),"",VLOOKUP($A39,'Plano de Contas'!#REF!,8,FALSE))</f>
        <v/>
      </c>
      <c r="P39" s="6" t="str">
        <f>IF(ISERROR(VLOOKUP($A39,'Plano de Contas'!#REF!,10,FALSE)),"",VLOOKUP($A39,'Plano de Contas'!#REF!,10,FALSE))</f>
        <v/>
      </c>
    </row>
    <row r="40" spans="1:16" x14ac:dyDescent="0.25">
      <c r="A40" t="s">
        <v>90</v>
      </c>
      <c r="B40">
        <v>731</v>
      </c>
      <c r="C40" t="s">
        <v>91</v>
      </c>
      <c r="D40" s="10">
        <v>224437.03</v>
      </c>
      <c r="F40" s="10">
        <v>1216.8</v>
      </c>
      <c r="H40">
        <v>243.36</v>
      </c>
      <c r="I40" t="s">
        <v>35</v>
      </c>
      <c r="J40" s="10">
        <v>225410.47</v>
      </c>
      <c r="L40" s="1">
        <f t="shared" si="0"/>
        <v>225410.47</v>
      </c>
      <c r="N40" s="6" t="str">
        <f>IF(ISERROR(VLOOKUP($A40,'Plano de Contas'!#REF!,8,FALSE)),"",VLOOKUP($A40,'Plano de Contas'!#REF!,8,FALSE))</f>
        <v/>
      </c>
      <c r="P40" s="6" t="str">
        <f>IF(ISERROR(VLOOKUP($A40,'Plano de Contas'!#REF!,10,FALSE)),"",VLOOKUP($A40,'Plano de Contas'!#REF!,10,FALSE))</f>
        <v/>
      </c>
    </row>
    <row r="41" spans="1:16" x14ac:dyDescent="0.25">
      <c r="A41" t="s">
        <v>1131</v>
      </c>
      <c r="B41">
        <v>732</v>
      </c>
      <c r="C41" t="s">
        <v>1132</v>
      </c>
      <c r="D41" s="10">
        <v>1193723.44</v>
      </c>
      <c r="F41" s="10">
        <v>4582.51</v>
      </c>
      <c r="H41" s="10">
        <v>1198305.95</v>
      </c>
      <c r="I41" t="s">
        <v>35</v>
      </c>
      <c r="J41">
        <v>0</v>
      </c>
      <c r="L41" s="1">
        <f t="shared" si="0"/>
        <v>0</v>
      </c>
      <c r="N41" s="6" t="str">
        <f>IF(ISERROR(VLOOKUP($A41,'Plano de Contas'!#REF!,8,FALSE)),"",VLOOKUP($A41,'Plano de Contas'!#REF!,8,FALSE))</f>
        <v/>
      </c>
      <c r="P41" s="6" t="str">
        <f>IF(ISERROR(VLOOKUP($A41,'Plano de Contas'!#REF!,10,FALSE)),"",VLOOKUP($A41,'Plano de Contas'!#REF!,10,FALSE))</f>
        <v/>
      </c>
    </row>
    <row r="42" spans="1:16" x14ac:dyDescent="0.25">
      <c r="A42" t="s">
        <v>92</v>
      </c>
      <c r="B42">
        <v>738</v>
      </c>
      <c r="C42" t="s">
        <v>93</v>
      </c>
      <c r="D42" s="10">
        <v>38228.17</v>
      </c>
      <c r="F42">
        <v>216.47</v>
      </c>
      <c r="H42">
        <v>32.47</v>
      </c>
      <c r="I42" t="s">
        <v>35</v>
      </c>
      <c r="J42" s="10">
        <v>38412.17</v>
      </c>
      <c r="L42" s="1">
        <f t="shared" si="0"/>
        <v>38412.17</v>
      </c>
      <c r="N42" s="6" t="str">
        <f>IF(ISERROR(VLOOKUP($A42,'Plano de Contas'!#REF!,8,FALSE)),"",VLOOKUP($A42,'Plano de Contas'!#REF!,8,FALSE))</f>
        <v/>
      </c>
      <c r="P42" s="6" t="str">
        <f>IF(ISERROR(VLOOKUP($A42,'Plano de Contas'!#REF!,10,FALSE)),"",VLOOKUP($A42,'Plano de Contas'!#REF!,10,FALSE))</f>
        <v/>
      </c>
    </row>
    <row r="43" spans="1:16" x14ac:dyDescent="0.25">
      <c r="A43" t="s">
        <v>96</v>
      </c>
      <c r="B43">
        <v>748</v>
      </c>
      <c r="C43" t="s">
        <v>97</v>
      </c>
      <c r="D43" s="10">
        <v>457500</v>
      </c>
      <c r="F43" s="10">
        <v>1395161.15</v>
      </c>
      <c r="H43" s="10">
        <v>1487054.08</v>
      </c>
      <c r="I43" t="s">
        <v>35</v>
      </c>
      <c r="J43" s="10">
        <v>365607.07</v>
      </c>
      <c r="L43" s="1">
        <f t="shared" si="0"/>
        <v>365607.07</v>
      </c>
      <c r="N43" s="6" t="str">
        <f>IF(ISERROR(VLOOKUP($A43,'Plano de Contas'!#REF!,8,FALSE)),"",VLOOKUP($A43,'Plano de Contas'!#REF!,8,FALSE))</f>
        <v/>
      </c>
      <c r="P43" s="6" t="str">
        <f>IF(ISERROR(VLOOKUP($A43,'Plano de Contas'!#REF!,10,FALSE)),"",VLOOKUP($A43,'Plano de Contas'!#REF!,10,FALSE))</f>
        <v/>
      </c>
    </row>
    <row r="44" spans="1:16" x14ac:dyDescent="0.25">
      <c r="A44" t="s">
        <v>98</v>
      </c>
      <c r="B44">
        <v>768</v>
      </c>
      <c r="C44" t="s">
        <v>99</v>
      </c>
      <c r="D44" s="10">
        <v>2966.09</v>
      </c>
      <c r="F44">
        <v>105.87</v>
      </c>
      <c r="H44">
        <v>4.63</v>
      </c>
      <c r="I44" t="s">
        <v>35</v>
      </c>
      <c r="J44" s="10">
        <v>3067.33</v>
      </c>
      <c r="L44" s="1">
        <f t="shared" si="0"/>
        <v>3067.33</v>
      </c>
      <c r="N44" s="6" t="str">
        <f>IF(ISERROR(VLOOKUP($A44,'Plano de Contas'!#REF!,8,FALSE)),"",VLOOKUP($A44,'Plano de Contas'!#REF!,8,FALSE))</f>
        <v/>
      </c>
      <c r="P44" s="6" t="str">
        <f>IF(ISERROR(VLOOKUP($A44,'Plano de Contas'!#REF!,10,FALSE)),"",VLOOKUP($A44,'Plano de Contas'!#REF!,10,FALSE))</f>
        <v/>
      </c>
    </row>
    <row r="45" spans="1:16" x14ac:dyDescent="0.25">
      <c r="A45" t="s">
        <v>100</v>
      </c>
      <c r="B45">
        <v>779</v>
      </c>
      <c r="C45" t="s">
        <v>101</v>
      </c>
      <c r="D45" s="10">
        <v>2854.51</v>
      </c>
      <c r="F45">
        <v>0</v>
      </c>
      <c r="H45" s="10">
        <v>2854.51</v>
      </c>
      <c r="I45" t="s">
        <v>35</v>
      </c>
      <c r="J45">
        <v>0</v>
      </c>
      <c r="L45" s="1">
        <f t="shared" si="0"/>
        <v>0</v>
      </c>
      <c r="N45" s="6" t="str">
        <f>IF(ISERROR(VLOOKUP($A45,'Plano de Contas'!#REF!,8,FALSE)),"",VLOOKUP($A45,'Plano de Contas'!#REF!,8,FALSE))</f>
        <v/>
      </c>
      <c r="P45" s="6" t="str">
        <f>IF(ISERROR(VLOOKUP($A45,'Plano de Contas'!#REF!,10,FALSE)),"",VLOOKUP($A45,'Plano de Contas'!#REF!,10,FALSE))</f>
        <v/>
      </c>
    </row>
    <row r="46" spans="1:16" x14ac:dyDescent="0.25">
      <c r="A46" t="s">
        <v>1453</v>
      </c>
      <c r="B46">
        <v>833</v>
      </c>
      <c r="C46" t="s">
        <v>1454</v>
      </c>
      <c r="D46" s="10">
        <v>95910.54</v>
      </c>
      <c r="E46" t="s">
        <v>35</v>
      </c>
      <c r="F46" s="10">
        <v>95910.54</v>
      </c>
      <c r="H46">
        <v>0</v>
      </c>
      <c r="J46">
        <v>0</v>
      </c>
      <c r="L46" s="48">
        <f t="shared" si="0"/>
        <v>0</v>
      </c>
      <c r="N46" s="6" t="str">
        <f>IF(ISERROR(VLOOKUP($A46,'Plano de Contas'!#REF!,8,FALSE)),"",VLOOKUP($A46,'Plano de Contas'!#REF!,8,FALSE))</f>
        <v/>
      </c>
      <c r="P46" s="6" t="str">
        <f>IF(ISERROR(VLOOKUP($A46,'Plano de Contas'!#REF!,10,FALSE)),"",VLOOKUP($A46,'Plano de Contas'!#REF!,10,FALSE))</f>
        <v/>
      </c>
    </row>
    <row r="47" spans="1:16" x14ac:dyDescent="0.25">
      <c r="A47" t="s">
        <v>102</v>
      </c>
      <c r="B47">
        <v>916</v>
      </c>
      <c r="C47" t="s">
        <v>103</v>
      </c>
      <c r="D47" s="10">
        <v>10500000</v>
      </c>
      <c r="F47" s="10">
        <v>2580369.15</v>
      </c>
      <c r="H47" s="10">
        <v>18540.189999999999</v>
      </c>
      <c r="I47" t="s">
        <v>35</v>
      </c>
      <c r="J47" s="10">
        <v>13061828.960000001</v>
      </c>
      <c r="L47" s="48">
        <f t="shared" si="0"/>
        <v>13061828.960000001</v>
      </c>
      <c r="N47" s="6" t="str">
        <f>IF(ISERROR(VLOOKUP($A47,'Plano de Contas'!#REF!,8,FALSE)),"",VLOOKUP($A47,'Plano de Contas'!#REF!,8,FALSE))</f>
        <v/>
      </c>
      <c r="P47" s="6" t="str">
        <f>IF(ISERROR(VLOOKUP($A47,'Plano de Contas'!#REF!,10,FALSE)),"",VLOOKUP($A47,'Plano de Contas'!#REF!,10,FALSE))</f>
        <v/>
      </c>
    </row>
    <row r="48" spans="1:16" x14ac:dyDescent="0.25">
      <c r="A48" t="s">
        <v>104</v>
      </c>
      <c r="B48">
        <v>917</v>
      </c>
      <c r="C48" t="s">
        <v>105</v>
      </c>
      <c r="D48">
        <v>0</v>
      </c>
      <c r="F48" s="10">
        <v>29021087.609999999</v>
      </c>
      <c r="H48" s="10">
        <v>22020945.379999999</v>
      </c>
      <c r="I48" t="s">
        <v>35</v>
      </c>
      <c r="J48" s="10">
        <v>7000142.2300000004</v>
      </c>
      <c r="L48" s="1">
        <f t="shared" si="0"/>
        <v>7000142.2300000004</v>
      </c>
      <c r="N48" s="6" t="str">
        <f>IF(ISERROR(VLOOKUP($A48,'Plano de Contas'!#REF!,8,FALSE)),"",VLOOKUP($A48,'Plano de Contas'!#REF!,8,FALSE))</f>
        <v/>
      </c>
      <c r="P48" s="6" t="str">
        <f>IF(ISERROR(VLOOKUP($A48,'Plano de Contas'!#REF!,10,FALSE)),"",VLOOKUP($A48,'Plano de Contas'!#REF!,10,FALSE))</f>
        <v/>
      </c>
    </row>
    <row r="49" spans="1:16" x14ac:dyDescent="0.25">
      <c r="L49" s="1">
        <f t="shared" si="0"/>
        <v>0</v>
      </c>
      <c r="N49" s="6" t="str">
        <f>IF(ISERROR(VLOOKUP($A49,'Plano de Contas'!#REF!,8,FALSE)),"",VLOOKUP($A49,'Plano de Contas'!#REF!,8,FALSE))</f>
        <v/>
      </c>
      <c r="P49" s="6" t="str">
        <f>IF(ISERROR(VLOOKUP($A49,'Plano de Contas'!#REF!,10,FALSE)),"",VLOOKUP($A49,'Plano de Contas'!#REF!,10,FALSE))</f>
        <v/>
      </c>
    </row>
    <row r="50" spans="1:16" x14ac:dyDescent="0.25">
      <c r="A50" t="s">
        <v>110</v>
      </c>
      <c r="B50">
        <v>28</v>
      </c>
      <c r="C50" t="s">
        <v>111</v>
      </c>
      <c r="D50" s="10">
        <v>31878121.690000001</v>
      </c>
      <c r="F50" s="10">
        <v>11814305.34</v>
      </c>
      <c r="H50" s="10">
        <v>10157784.119999999</v>
      </c>
      <c r="I50" t="s">
        <v>35</v>
      </c>
      <c r="J50" s="10">
        <v>33534642.91</v>
      </c>
      <c r="L50" s="48">
        <f t="shared" si="0"/>
        <v>33534642.91</v>
      </c>
      <c r="N50" s="6" t="str">
        <f>IF(ISERROR(VLOOKUP($A50,'Plano de Contas'!#REF!,8,FALSE)),"",VLOOKUP($A50,'Plano de Contas'!#REF!,8,FALSE))</f>
        <v/>
      </c>
      <c r="P50" s="6" t="str">
        <f>IF(ISERROR(VLOOKUP($A50,'Plano de Contas'!#REF!,10,FALSE)),"",VLOOKUP($A50,'Plano de Contas'!#REF!,10,FALSE))</f>
        <v/>
      </c>
    </row>
    <row r="51" spans="1:16" x14ac:dyDescent="0.25">
      <c r="L51" s="1">
        <f t="shared" si="0"/>
        <v>0</v>
      </c>
      <c r="N51" s="6" t="str">
        <f>IF(ISERROR(VLOOKUP($A51,'Plano de Contas'!#REF!,8,FALSE)),"",VLOOKUP($A51,'Plano de Contas'!#REF!,8,FALSE))</f>
        <v/>
      </c>
      <c r="P51" s="6" t="str">
        <f>IF(ISERROR(VLOOKUP($A51,'Plano de Contas'!#REF!,10,FALSE)),"",VLOOKUP($A51,'Plano de Contas'!#REF!,10,FALSE))</f>
        <v/>
      </c>
    </row>
    <row r="52" spans="1:16" x14ac:dyDescent="0.25">
      <c r="A52" t="s">
        <v>112</v>
      </c>
      <c r="B52">
        <v>29</v>
      </c>
      <c r="C52" t="s">
        <v>113</v>
      </c>
      <c r="D52" s="10">
        <v>5289702.38</v>
      </c>
      <c r="F52" s="10">
        <v>7249792.71</v>
      </c>
      <c r="H52" s="10">
        <v>8543839.6099999994</v>
      </c>
      <c r="I52" t="s">
        <v>35</v>
      </c>
      <c r="J52" s="10">
        <v>3995655.48</v>
      </c>
      <c r="L52" s="1">
        <f t="shared" si="0"/>
        <v>3995655.48</v>
      </c>
      <c r="N52" s="6" t="str">
        <f>IF(ISERROR(VLOOKUP($A52,'Plano de Contas'!#REF!,8,FALSE)),"",VLOOKUP($A52,'Plano de Contas'!#REF!,8,FALSE))</f>
        <v/>
      </c>
      <c r="P52" s="6" t="str">
        <f>IF(ISERROR(VLOOKUP($A52,'Plano de Contas'!#REF!,10,FALSE)),"",VLOOKUP($A52,'Plano de Contas'!#REF!,10,FALSE))</f>
        <v/>
      </c>
    </row>
    <row r="53" spans="1:16" x14ac:dyDescent="0.25">
      <c r="A53" t="s">
        <v>114</v>
      </c>
      <c r="B53">
        <v>30</v>
      </c>
      <c r="C53" t="s">
        <v>115</v>
      </c>
      <c r="D53" s="10">
        <v>6911635.7999999998</v>
      </c>
      <c r="F53" s="10">
        <v>7249792.71</v>
      </c>
      <c r="H53" s="10">
        <v>7943757.3799999999</v>
      </c>
      <c r="I53" t="s">
        <v>35</v>
      </c>
      <c r="J53" s="10">
        <v>6217671.1299999999</v>
      </c>
      <c r="L53" s="48">
        <f t="shared" si="0"/>
        <v>6217671.1299999999</v>
      </c>
      <c r="N53" s="6" t="str">
        <f>IF(ISERROR(VLOOKUP($A53,'Plano de Contas'!#REF!,8,FALSE)),"",VLOOKUP($A53,'Plano de Contas'!#REF!,8,FALSE))</f>
        <v/>
      </c>
      <c r="P53" s="6" t="str">
        <f>IF(ISERROR(VLOOKUP($A53,'Plano de Contas'!#REF!,10,FALSE)),"",VLOOKUP($A53,'Plano de Contas'!#REF!,10,FALSE))</f>
        <v/>
      </c>
    </row>
    <row r="54" spans="1:16" x14ac:dyDescent="0.25">
      <c r="A54" t="s">
        <v>116</v>
      </c>
      <c r="B54">
        <v>31</v>
      </c>
      <c r="C54" t="s">
        <v>117</v>
      </c>
      <c r="D54" s="10">
        <v>-1621933.42</v>
      </c>
      <c r="F54">
        <v>0</v>
      </c>
      <c r="H54" s="10">
        <v>-600082.23</v>
      </c>
      <c r="J54" s="10">
        <v>-2222015.65</v>
      </c>
      <c r="L54" s="48">
        <f t="shared" si="0"/>
        <v>-2222015.65</v>
      </c>
      <c r="N54" s="6" t="str">
        <f>IF(ISERROR(VLOOKUP($A54,'Plano de Contas'!#REF!,8,FALSE)),"",VLOOKUP($A54,'Plano de Contas'!#REF!,8,FALSE))</f>
        <v/>
      </c>
      <c r="P54" s="6" t="str">
        <f>IF(ISERROR(VLOOKUP($A54,'Plano de Contas'!#REF!,10,FALSE)),"",VLOOKUP($A54,'Plano de Contas'!#REF!,10,FALSE))</f>
        <v/>
      </c>
    </row>
    <row r="55" spans="1:16" x14ac:dyDescent="0.25">
      <c r="L55" s="48">
        <f t="shared" si="0"/>
        <v>0</v>
      </c>
      <c r="N55" s="6" t="str">
        <f>IF(ISERROR(VLOOKUP($A55,'Plano de Contas'!#REF!,8,FALSE)),"",VLOOKUP($A55,'Plano de Contas'!#REF!,8,FALSE))</f>
        <v/>
      </c>
      <c r="P55" s="6" t="str">
        <f>IF(ISERROR(VLOOKUP($A55,'Plano de Contas'!#REF!,10,FALSE)),"",VLOOKUP($A55,'Plano de Contas'!#REF!,10,FALSE))</f>
        <v/>
      </c>
    </row>
    <row r="56" spans="1:16" x14ac:dyDescent="0.25">
      <c r="A56" t="s">
        <v>118</v>
      </c>
      <c r="B56">
        <v>32</v>
      </c>
      <c r="C56" t="s">
        <v>119</v>
      </c>
      <c r="D56" s="10">
        <v>106079.27</v>
      </c>
      <c r="F56" s="10">
        <v>66636.710000000006</v>
      </c>
      <c r="H56" s="10">
        <v>21579.27</v>
      </c>
      <c r="I56" t="s">
        <v>35</v>
      </c>
      <c r="J56" s="10">
        <v>151136.71</v>
      </c>
      <c r="L56" s="48">
        <f t="shared" si="0"/>
        <v>151136.71</v>
      </c>
      <c r="N56" s="6" t="str">
        <f>IF(ISERROR(VLOOKUP($A56,'Plano de Contas'!#REF!,8,FALSE)),"",VLOOKUP($A56,'Plano de Contas'!#REF!,8,FALSE))</f>
        <v/>
      </c>
      <c r="P56" s="6" t="str">
        <f>IF(ISERROR(VLOOKUP($A56,'Plano de Contas'!#REF!,10,FALSE)),"",VLOOKUP($A56,'Plano de Contas'!#REF!,10,FALSE))</f>
        <v/>
      </c>
    </row>
    <row r="57" spans="1:16" x14ac:dyDescent="0.25">
      <c r="A57" t="s">
        <v>120</v>
      </c>
      <c r="B57">
        <v>33</v>
      </c>
      <c r="C57" t="s">
        <v>121</v>
      </c>
      <c r="D57" s="10">
        <v>106079.27</v>
      </c>
      <c r="F57" s="10">
        <v>66636.710000000006</v>
      </c>
      <c r="H57" s="10">
        <v>21579.27</v>
      </c>
      <c r="I57" t="s">
        <v>35</v>
      </c>
      <c r="J57" s="10">
        <v>151136.71</v>
      </c>
      <c r="L57" s="48">
        <f t="shared" si="0"/>
        <v>151136.71</v>
      </c>
      <c r="N57" s="6" t="str">
        <f>IF(ISERROR(VLOOKUP($A57,'Plano de Contas'!#REF!,8,FALSE)),"",VLOOKUP($A57,'Plano de Contas'!#REF!,8,FALSE))</f>
        <v/>
      </c>
      <c r="P57" s="6" t="str">
        <f>IF(ISERROR(VLOOKUP($A57,'Plano de Contas'!#REF!,10,FALSE)),"",VLOOKUP($A57,'Plano de Contas'!#REF!,10,FALSE))</f>
        <v/>
      </c>
    </row>
    <row r="58" spans="1:16" x14ac:dyDescent="0.25">
      <c r="L58" s="1">
        <f t="shared" si="0"/>
        <v>0</v>
      </c>
      <c r="N58" s="6" t="str">
        <f>IF(ISERROR(VLOOKUP($A58,'Plano de Contas'!#REF!,8,FALSE)),"",VLOOKUP($A58,'Plano de Contas'!#REF!,8,FALSE))</f>
        <v/>
      </c>
      <c r="P58" s="6" t="str">
        <f>IF(ISERROR(VLOOKUP($A58,'Plano de Contas'!#REF!,10,FALSE)),"",VLOOKUP($A58,'Plano de Contas'!#REF!,10,FALSE))</f>
        <v/>
      </c>
    </row>
    <row r="59" spans="1:16" x14ac:dyDescent="0.25">
      <c r="A59" t="s">
        <v>122</v>
      </c>
      <c r="B59">
        <v>34</v>
      </c>
      <c r="C59" t="s">
        <v>123</v>
      </c>
      <c r="D59" s="10">
        <v>238708.59</v>
      </c>
      <c r="F59" s="10">
        <v>134041.26999999999</v>
      </c>
      <c r="H59" s="10">
        <v>105124.32</v>
      </c>
      <c r="I59" t="s">
        <v>35</v>
      </c>
      <c r="J59" s="10">
        <v>267625.53999999998</v>
      </c>
      <c r="L59" s="1">
        <f t="shared" si="0"/>
        <v>267625.53999999998</v>
      </c>
      <c r="N59" s="6" t="str">
        <f>IF(ISERROR(VLOOKUP($A59,'Plano de Contas'!#REF!,8,FALSE)),"",VLOOKUP($A59,'Plano de Contas'!#REF!,8,FALSE))</f>
        <v/>
      </c>
      <c r="P59" s="6" t="str">
        <f>IF(ISERROR(VLOOKUP($A59,'Plano de Contas'!#REF!,10,FALSE)),"",VLOOKUP($A59,'Plano de Contas'!#REF!,10,FALSE))</f>
        <v/>
      </c>
    </row>
    <row r="60" spans="1:16" x14ac:dyDescent="0.25">
      <c r="A60" t="s">
        <v>124</v>
      </c>
      <c r="B60">
        <v>35</v>
      </c>
      <c r="C60" t="s">
        <v>125</v>
      </c>
      <c r="D60" s="10">
        <v>157343.25</v>
      </c>
      <c r="F60">
        <v>0</v>
      </c>
      <c r="H60" s="10">
        <v>24967.8</v>
      </c>
      <c r="I60" t="s">
        <v>35</v>
      </c>
      <c r="J60" s="10">
        <v>132375.45000000001</v>
      </c>
      <c r="L60" s="49">
        <f t="shared" si="0"/>
        <v>132375.45000000001</v>
      </c>
      <c r="N60" s="6" t="str">
        <f>IF(ISERROR(VLOOKUP($A60,'Plano de Contas'!#REF!,8,FALSE)),"",VLOOKUP($A60,'Plano de Contas'!#REF!,8,FALSE))</f>
        <v/>
      </c>
      <c r="P60" s="6" t="str">
        <f>IF(ISERROR(VLOOKUP($A60,'Plano de Contas'!#REF!,10,FALSE)),"",VLOOKUP($A60,'Plano de Contas'!#REF!,10,FALSE))</f>
        <v/>
      </c>
    </row>
    <row r="61" spans="1:16" x14ac:dyDescent="0.25">
      <c r="A61" t="s">
        <v>126</v>
      </c>
      <c r="B61">
        <v>36</v>
      </c>
      <c r="C61" t="s">
        <v>127</v>
      </c>
      <c r="D61" s="10">
        <v>64607.24</v>
      </c>
      <c r="F61" s="10">
        <v>131369.79999999999</v>
      </c>
      <c r="H61" s="10">
        <v>-76917.56</v>
      </c>
      <c r="J61" s="10">
        <v>119059.48</v>
      </c>
      <c r="L61" s="49">
        <f t="shared" si="0"/>
        <v>119059.48</v>
      </c>
      <c r="N61" s="6" t="str">
        <f>IF(ISERROR(VLOOKUP($A61,'Plano de Contas'!#REF!,8,FALSE)),"",VLOOKUP($A61,'Plano de Contas'!#REF!,8,FALSE))</f>
        <v/>
      </c>
      <c r="P61" s="6" t="str">
        <f>IF(ISERROR(VLOOKUP($A61,'Plano de Contas'!#REF!,10,FALSE)),"",VLOOKUP($A61,'Plano de Contas'!#REF!,10,FALSE))</f>
        <v/>
      </c>
    </row>
    <row r="62" spans="1:16" x14ac:dyDescent="0.25">
      <c r="A62" t="s">
        <v>128</v>
      </c>
      <c r="B62">
        <v>38</v>
      </c>
      <c r="C62" t="s">
        <v>129</v>
      </c>
      <c r="D62" s="10">
        <v>6880</v>
      </c>
      <c r="F62">
        <v>0</v>
      </c>
      <c r="H62" s="10">
        <v>1000</v>
      </c>
      <c r="I62" t="s">
        <v>35</v>
      </c>
      <c r="J62" s="10">
        <v>5880</v>
      </c>
      <c r="L62" s="49">
        <f t="shared" si="0"/>
        <v>5880</v>
      </c>
      <c r="N62" s="6" t="str">
        <f>IF(ISERROR(VLOOKUP($A62,'Plano de Contas'!#REF!,8,FALSE)),"",VLOOKUP($A62,'Plano de Contas'!#REF!,8,FALSE))</f>
        <v/>
      </c>
      <c r="P62" s="6" t="str">
        <f>IF(ISERROR(VLOOKUP($A62,'Plano de Contas'!#REF!,10,FALSE)),"",VLOOKUP($A62,'Plano de Contas'!#REF!,10,FALSE))</f>
        <v/>
      </c>
    </row>
    <row r="63" spans="1:16" x14ac:dyDescent="0.25">
      <c r="A63" t="s">
        <v>130</v>
      </c>
      <c r="B63">
        <v>39</v>
      </c>
      <c r="C63" t="s">
        <v>131</v>
      </c>
      <c r="D63">
        <v>294.22000000000003</v>
      </c>
      <c r="F63">
        <v>0</v>
      </c>
      <c r="H63">
        <v>0</v>
      </c>
      <c r="J63">
        <v>294.22000000000003</v>
      </c>
      <c r="L63" s="49">
        <f t="shared" si="0"/>
        <v>294.22000000000003</v>
      </c>
      <c r="N63" s="6" t="str">
        <f>IF(ISERROR(VLOOKUP($A63,'Plano de Contas'!#REF!,8,FALSE)),"",VLOOKUP($A63,'Plano de Contas'!#REF!,8,FALSE))</f>
        <v/>
      </c>
      <c r="P63" s="6" t="str">
        <f>IF(ISERROR(VLOOKUP($A63,'Plano de Contas'!#REF!,10,FALSE)),"",VLOOKUP($A63,'Plano de Contas'!#REF!,10,FALSE))</f>
        <v/>
      </c>
    </row>
    <row r="64" spans="1:16" x14ac:dyDescent="0.25">
      <c r="A64" t="s">
        <v>132</v>
      </c>
      <c r="B64">
        <v>314</v>
      </c>
      <c r="C64" t="s">
        <v>133</v>
      </c>
      <c r="D64" s="10">
        <v>9583.8799999999992</v>
      </c>
      <c r="F64" s="10">
        <v>2671.47</v>
      </c>
      <c r="H64" s="10">
        <v>2238.96</v>
      </c>
      <c r="I64" t="s">
        <v>35</v>
      </c>
      <c r="J64" s="10">
        <v>10016.39</v>
      </c>
      <c r="L64" s="49">
        <f t="shared" si="0"/>
        <v>10016.39</v>
      </c>
      <c r="N64" s="6" t="str">
        <f>IF(ISERROR(VLOOKUP($A64,'Plano de Contas'!#REF!,8,FALSE)),"",VLOOKUP($A64,'Plano de Contas'!#REF!,8,FALSE))</f>
        <v/>
      </c>
      <c r="P64" s="6" t="str">
        <f>IF(ISERROR(VLOOKUP($A64,'Plano de Contas'!#REF!,10,FALSE)),"",VLOOKUP($A64,'Plano de Contas'!#REF!,10,FALSE))</f>
        <v/>
      </c>
    </row>
    <row r="65" spans="1:16" x14ac:dyDescent="0.25">
      <c r="L65" s="48">
        <f t="shared" si="0"/>
        <v>0</v>
      </c>
      <c r="N65" s="6" t="str">
        <f>IF(ISERROR(VLOOKUP($A65,'Plano de Contas'!#REF!,8,FALSE)),"",VLOOKUP($A65,'Plano de Contas'!#REF!,8,FALSE))</f>
        <v/>
      </c>
      <c r="P65" s="6" t="str">
        <f>IF(ISERROR(VLOOKUP($A65,'Plano de Contas'!#REF!,10,FALSE)),"",VLOOKUP($A65,'Plano de Contas'!#REF!,10,FALSE))</f>
        <v/>
      </c>
    </row>
    <row r="66" spans="1:16" x14ac:dyDescent="0.25">
      <c r="A66" t="s">
        <v>134</v>
      </c>
      <c r="B66">
        <v>40</v>
      </c>
      <c r="C66" t="s">
        <v>135</v>
      </c>
      <c r="D66" s="10">
        <v>4787601.66</v>
      </c>
      <c r="F66" s="10">
        <v>202290.36</v>
      </c>
      <c r="H66" s="10">
        <v>63262.64</v>
      </c>
      <c r="I66" t="s">
        <v>35</v>
      </c>
      <c r="J66" s="10">
        <v>4926629.38</v>
      </c>
      <c r="L66" s="49">
        <f t="shared" si="0"/>
        <v>4926629.38</v>
      </c>
      <c r="N66" s="6" t="str">
        <f>IF(ISERROR(VLOOKUP($A66,'Plano de Contas'!#REF!,8,FALSE)),"",VLOOKUP($A66,'Plano de Contas'!#REF!,8,FALSE))</f>
        <v/>
      </c>
      <c r="P66" s="6" t="str">
        <f>IF(ISERROR(VLOOKUP($A66,'Plano de Contas'!#REF!,10,FALSE)),"",VLOOKUP($A66,'Plano de Contas'!#REF!,10,FALSE))</f>
        <v/>
      </c>
    </row>
    <row r="67" spans="1:16" x14ac:dyDescent="0.25">
      <c r="A67" t="s">
        <v>136</v>
      </c>
      <c r="B67">
        <v>41</v>
      </c>
      <c r="C67" t="s">
        <v>137</v>
      </c>
      <c r="D67" s="10">
        <v>644174.99</v>
      </c>
      <c r="F67" s="10">
        <v>15083.28</v>
      </c>
      <c r="H67">
        <v>0</v>
      </c>
      <c r="J67" s="10">
        <v>659258.27</v>
      </c>
      <c r="L67" s="49">
        <f t="shared" si="0"/>
        <v>659258.27</v>
      </c>
      <c r="N67" s="6" t="str">
        <f>IF(ISERROR(VLOOKUP($A67,'Plano de Contas'!#REF!,8,FALSE)),"",VLOOKUP($A67,'Plano de Contas'!#REF!,8,FALSE))</f>
        <v/>
      </c>
      <c r="P67" s="6" t="str">
        <f>IF(ISERROR(VLOOKUP($A67,'Plano de Contas'!#REF!,10,FALSE)),"",VLOOKUP($A67,'Plano de Contas'!#REF!,10,FALSE))</f>
        <v/>
      </c>
    </row>
    <row r="68" spans="1:16" x14ac:dyDescent="0.25">
      <c r="A68" t="s">
        <v>138</v>
      </c>
      <c r="B68">
        <v>43</v>
      </c>
      <c r="C68" t="s">
        <v>139</v>
      </c>
      <c r="D68" s="10">
        <v>168665.64</v>
      </c>
      <c r="F68">
        <v>0</v>
      </c>
      <c r="H68">
        <v>0</v>
      </c>
      <c r="J68" s="10">
        <v>168665.64</v>
      </c>
      <c r="L68" s="49">
        <f t="shared" si="0"/>
        <v>168665.64</v>
      </c>
      <c r="N68" s="6" t="str">
        <f>IF(ISERROR(VLOOKUP($A68,'Plano de Contas'!#REF!,8,FALSE)),"",VLOOKUP($A68,'Plano de Contas'!#REF!,8,FALSE))</f>
        <v/>
      </c>
      <c r="P68" s="6" t="str">
        <f>IF(ISERROR(VLOOKUP($A68,'Plano de Contas'!#REF!,10,FALSE)),"",VLOOKUP($A68,'Plano de Contas'!#REF!,10,FALSE))</f>
        <v/>
      </c>
    </row>
    <row r="69" spans="1:16" x14ac:dyDescent="0.25">
      <c r="A69" t="s">
        <v>140</v>
      </c>
      <c r="B69">
        <v>474</v>
      </c>
      <c r="C69" t="s">
        <v>141</v>
      </c>
      <c r="D69">
        <v>0</v>
      </c>
      <c r="F69" s="10">
        <v>11265.96</v>
      </c>
      <c r="H69" s="10">
        <v>11265.96</v>
      </c>
      <c r="I69" t="s">
        <v>35</v>
      </c>
      <c r="J69">
        <v>0</v>
      </c>
      <c r="L69" s="49">
        <f t="shared" si="0"/>
        <v>0</v>
      </c>
      <c r="N69" s="6" t="str">
        <f>IF(ISERROR(VLOOKUP($A69,'Plano de Contas'!#REF!,8,FALSE)),"",VLOOKUP($A69,'Plano de Contas'!#REF!,8,FALSE))</f>
        <v/>
      </c>
      <c r="P69" s="6" t="str">
        <f>IF(ISERROR(VLOOKUP($A69,'Plano de Contas'!#REF!,10,FALSE)),"",VLOOKUP($A69,'Plano de Contas'!#REF!,10,FALSE))</f>
        <v/>
      </c>
    </row>
    <row r="70" spans="1:16" x14ac:dyDescent="0.25">
      <c r="A70" t="s">
        <v>142</v>
      </c>
      <c r="B70">
        <v>475</v>
      </c>
      <c r="C70" t="s">
        <v>143</v>
      </c>
      <c r="D70">
        <v>0</v>
      </c>
      <c r="F70" s="10">
        <v>51996.68</v>
      </c>
      <c r="H70" s="10">
        <v>51996.68</v>
      </c>
      <c r="I70" t="s">
        <v>35</v>
      </c>
      <c r="J70">
        <v>0</v>
      </c>
      <c r="L70" s="49">
        <f t="shared" si="0"/>
        <v>0</v>
      </c>
      <c r="N70" s="6" t="str">
        <f>IF(ISERROR(VLOOKUP($A70,'Plano de Contas'!#REF!,8,FALSE)),"",VLOOKUP($A70,'Plano de Contas'!#REF!,8,FALSE))</f>
        <v/>
      </c>
      <c r="P70" s="6" t="str">
        <f>IF(ISERROR(VLOOKUP($A70,'Plano de Contas'!#REF!,10,FALSE)),"",VLOOKUP($A70,'Plano de Contas'!#REF!,10,FALSE))</f>
        <v/>
      </c>
    </row>
    <row r="71" spans="1:16" x14ac:dyDescent="0.25">
      <c r="A71" t="s">
        <v>144</v>
      </c>
      <c r="B71">
        <v>491</v>
      </c>
      <c r="C71" t="s">
        <v>145</v>
      </c>
      <c r="D71" s="10">
        <v>576263.87</v>
      </c>
      <c r="F71" s="10">
        <v>83194.77</v>
      </c>
      <c r="H71">
        <v>0</v>
      </c>
      <c r="J71" s="10">
        <v>659458.64</v>
      </c>
      <c r="L71" s="49">
        <f t="shared" si="0"/>
        <v>659458.64</v>
      </c>
      <c r="N71" s="6" t="str">
        <f>IF(ISERROR(VLOOKUP($A71,'Plano de Contas'!#REF!,8,FALSE)),"",VLOOKUP($A71,'Plano de Contas'!#REF!,8,FALSE))</f>
        <v/>
      </c>
      <c r="P71" s="6" t="str">
        <f>IF(ISERROR(VLOOKUP($A71,'Plano de Contas'!#REF!,10,FALSE)),"",VLOOKUP($A71,'Plano de Contas'!#REF!,10,FALSE))</f>
        <v/>
      </c>
    </row>
    <row r="72" spans="1:16" x14ac:dyDescent="0.25">
      <c r="A72" t="s">
        <v>146</v>
      </c>
      <c r="B72">
        <v>493</v>
      </c>
      <c r="C72" t="s">
        <v>147</v>
      </c>
      <c r="D72">
        <v>357.79</v>
      </c>
      <c r="F72">
        <v>0</v>
      </c>
      <c r="H72">
        <v>0</v>
      </c>
      <c r="J72">
        <v>357.79</v>
      </c>
      <c r="L72" s="49">
        <f t="shared" ref="L72:L135" si="1">IF(K72="-",-J72,J72)</f>
        <v>357.79</v>
      </c>
      <c r="N72" s="6" t="str">
        <f>IF(ISERROR(VLOOKUP($A72,'Plano de Contas'!#REF!,8,FALSE)),"",VLOOKUP($A72,'Plano de Contas'!#REF!,8,FALSE))</f>
        <v/>
      </c>
      <c r="P72" s="6" t="str">
        <f>IF(ISERROR(VLOOKUP($A72,'Plano de Contas'!#REF!,10,FALSE)),"",VLOOKUP($A72,'Plano de Contas'!#REF!,10,FALSE))</f>
        <v/>
      </c>
    </row>
    <row r="73" spans="1:16" x14ac:dyDescent="0.25">
      <c r="A73" t="s">
        <v>148</v>
      </c>
      <c r="B73">
        <v>501</v>
      </c>
      <c r="C73" t="s">
        <v>149</v>
      </c>
      <c r="D73" s="10">
        <v>110290.1</v>
      </c>
      <c r="F73" s="10">
        <v>17332.3</v>
      </c>
      <c r="H73">
        <v>0</v>
      </c>
      <c r="J73" s="10">
        <v>127622.39999999999</v>
      </c>
      <c r="L73" s="49">
        <f t="shared" si="1"/>
        <v>127622.39999999999</v>
      </c>
      <c r="N73" s="6" t="str">
        <f>IF(ISERROR(VLOOKUP($A73,'Plano de Contas'!#REF!,8,FALSE)),"",VLOOKUP($A73,'Plano de Contas'!#REF!,8,FALSE))</f>
        <v/>
      </c>
      <c r="P73" s="6" t="str">
        <f>IF(ISERROR(VLOOKUP($A73,'Plano de Contas'!#REF!,10,FALSE)),"",VLOOKUP($A73,'Plano de Contas'!#REF!,10,FALSE))</f>
        <v/>
      </c>
    </row>
    <row r="74" spans="1:16" x14ac:dyDescent="0.25">
      <c r="A74" t="s">
        <v>150</v>
      </c>
      <c r="B74">
        <v>608</v>
      </c>
      <c r="C74" t="s">
        <v>151</v>
      </c>
      <c r="D74" s="10">
        <v>6202.73</v>
      </c>
      <c r="F74">
        <v>0</v>
      </c>
      <c r="H74">
        <v>0</v>
      </c>
      <c r="J74" s="10">
        <v>6202.73</v>
      </c>
      <c r="L74" s="49">
        <f t="shared" si="1"/>
        <v>6202.73</v>
      </c>
      <c r="N74" s="6" t="str">
        <f>IF(ISERROR(VLOOKUP($A74,'Plano de Contas'!#REF!,8,FALSE)),"",VLOOKUP($A74,'Plano de Contas'!#REF!,8,FALSE))</f>
        <v/>
      </c>
      <c r="P74" s="6" t="str">
        <f>IF(ISERROR(VLOOKUP($A74,'Plano de Contas'!#REF!,10,FALSE)),"",VLOOKUP($A74,'Plano de Contas'!#REF!,10,FALSE))</f>
        <v/>
      </c>
    </row>
    <row r="75" spans="1:16" x14ac:dyDescent="0.25">
      <c r="A75" t="s">
        <v>152</v>
      </c>
      <c r="B75">
        <v>609</v>
      </c>
      <c r="C75" t="s">
        <v>153</v>
      </c>
      <c r="D75" s="10">
        <v>24122.36</v>
      </c>
      <c r="F75">
        <v>0</v>
      </c>
      <c r="H75">
        <v>0</v>
      </c>
      <c r="J75" s="10">
        <v>24122.36</v>
      </c>
      <c r="L75" s="49">
        <f t="shared" si="1"/>
        <v>24122.36</v>
      </c>
      <c r="N75" s="6" t="str">
        <f>IF(ISERROR(VLOOKUP($A75,'Plano de Contas'!#REF!,8,FALSE)),"",VLOOKUP($A75,'Plano de Contas'!#REF!,8,FALSE))</f>
        <v/>
      </c>
      <c r="P75" s="6" t="str">
        <f>IF(ISERROR(VLOOKUP($A75,'Plano de Contas'!#REF!,10,FALSE)),"",VLOOKUP($A75,'Plano de Contas'!#REF!,10,FALSE))</f>
        <v/>
      </c>
    </row>
    <row r="76" spans="1:16" x14ac:dyDescent="0.25">
      <c r="A76" t="s">
        <v>154</v>
      </c>
      <c r="B76">
        <v>623</v>
      </c>
      <c r="C76" t="s">
        <v>155</v>
      </c>
      <c r="D76">
        <v>17.45</v>
      </c>
      <c r="F76">
        <v>0</v>
      </c>
      <c r="H76">
        <v>0</v>
      </c>
      <c r="J76">
        <v>17.45</v>
      </c>
      <c r="L76" s="49">
        <f t="shared" si="1"/>
        <v>17.45</v>
      </c>
      <c r="N76" s="6" t="str">
        <f>IF(ISERROR(VLOOKUP($A76,'Plano de Contas'!#REF!,8,FALSE)),"",VLOOKUP($A76,'Plano de Contas'!#REF!,8,FALSE))</f>
        <v/>
      </c>
      <c r="P76" s="6" t="str">
        <f>IF(ISERROR(VLOOKUP($A76,'Plano de Contas'!#REF!,10,FALSE)),"",VLOOKUP($A76,'Plano de Contas'!#REF!,10,FALSE))</f>
        <v/>
      </c>
    </row>
    <row r="77" spans="1:16" x14ac:dyDescent="0.25">
      <c r="A77" t="s">
        <v>156</v>
      </c>
      <c r="B77">
        <v>631</v>
      </c>
      <c r="C77" t="s">
        <v>157</v>
      </c>
      <c r="D77" s="10">
        <v>22427.919999999998</v>
      </c>
      <c r="F77">
        <v>0</v>
      </c>
      <c r="H77">
        <v>0</v>
      </c>
      <c r="J77" s="10">
        <v>22427.919999999998</v>
      </c>
      <c r="L77" s="49">
        <f t="shared" si="1"/>
        <v>22427.919999999998</v>
      </c>
      <c r="N77" s="6" t="str">
        <f>IF(ISERROR(VLOOKUP($A77,'Plano de Contas'!#REF!,8,FALSE)),"",VLOOKUP($A77,'Plano de Contas'!#REF!,8,FALSE))</f>
        <v/>
      </c>
      <c r="P77" s="6" t="str">
        <f>IF(ISERROR(VLOOKUP($A77,'Plano de Contas'!#REF!,10,FALSE)),"",VLOOKUP($A77,'Plano de Contas'!#REF!,10,FALSE))</f>
        <v/>
      </c>
    </row>
    <row r="78" spans="1:16" x14ac:dyDescent="0.25">
      <c r="A78" t="s">
        <v>158</v>
      </c>
      <c r="B78">
        <v>636</v>
      </c>
      <c r="C78" t="s">
        <v>159</v>
      </c>
      <c r="D78" s="10">
        <v>9285.85</v>
      </c>
      <c r="F78" s="10">
        <v>23417.37</v>
      </c>
      <c r="H78">
        <v>0</v>
      </c>
      <c r="J78" s="10">
        <v>32703.22</v>
      </c>
      <c r="L78" s="49">
        <f t="shared" si="1"/>
        <v>32703.22</v>
      </c>
      <c r="N78" s="6" t="str">
        <f>IF(ISERROR(VLOOKUP($A78,'Plano de Contas'!#REF!,8,FALSE)),"",VLOOKUP($A78,'Plano de Contas'!#REF!,8,FALSE))</f>
        <v/>
      </c>
      <c r="P78" s="6" t="str">
        <f>IF(ISERROR(VLOOKUP($A78,'Plano de Contas'!#REF!,10,FALSE)),"",VLOOKUP($A78,'Plano de Contas'!#REF!,10,FALSE))</f>
        <v/>
      </c>
    </row>
    <row r="79" spans="1:16" x14ac:dyDescent="0.25">
      <c r="A79" t="s">
        <v>160</v>
      </c>
      <c r="B79">
        <v>635</v>
      </c>
      <c r="C79" t="s">
        <v>161</v>
      </c>
      <c r="D79" s="10">
        <v>275720.03000000003</v>
      </c>
      <c r="F79">
        <v>0</v>
      </c>
      <c r="H79">
        <v>0</v>
      </c>
      <c r="J79" s="10">
        <v>275720.03000000003</v>
      </c>
      <c r="L79" s="49">
        <f t="shared" si="1"/>
        <v>275720.03000000003</v>
      </c>
      <c r="N79" s="6" t="str">
        <f>IF(ISERROR(VLOOKUP($A79,'Plano de Contas'!#REF!,8,FALSE)),"",VLOOKUP($A79,'Plano de Contas'!#REF!,8,FALSE))</f>
        <v/>
      </c>
      <c r="P79" s="6" t="str">
        <f>IF(ISERROR(VLOOKUP($A79,'Plano de Contas'!#REF!,10,FALSE)),"",VLOOKUP($A79,'Plano de Contas'!#REF!,10,FALSE))</f>
        <v/>
      </c>
    </row>
    <row r="80" spans="1:16" x14ac:dyDescent="0.25">
      <c r="A80" t="s">
        <v>162</v>
      </c>
      <c r="B80">
        <v>666</v>
      </c>
      <c r="C80" t="s">
        <v>163</v>
      </c>
      <c r="D80" s="10">
        <v>14699.97</v>
      </c>
      <c r="F80">
        <v>0</v>
      </c>
      <c r="H80">
        <v>0</v>
      </c>
      <c r="J80" s="10">
        <v>14699.97</v>
      </c>
      <c r="L80" s="49">
        <f t="shared" si="1"/>
        <v>14699.97</v>
      </c>
      <c r="N80" s="6" t="str">
        <f>IF(ISERROR(VLOOKUP($A80,'Plano de Contas'!#REF!,8,FALSE)),"",VLOOKUP($A80,'Plano de Contas'!#REF!,8,FALSE))</f>
        <v/>
      </c>
      <c r="P80" s="6" t="str">
        <f>IF(ISERROR(VLOOKUP($A80,'Plano de Contas'!#REF!,10,FALSE)),"",VLOOKUP($A80,'Plano de Contas'!#REF!,10,FALSE))</f>
        <v/>
      </c>
    </row>
    <row r="81" spans="1:16" x14ac:dyDescent="0.25">
      <c r="A81" t="s">
        <v>164</v>
      </c>
      <c r="B81">
        <v>667</v>
      </c>
      <c r="C81" t="s">
        <v>165</v>
      </c>
      <c r="D81" s="10">
        <v>32019.8</v>
      </c>
      <c r="F81">
        <v>0</v>
      </c>
      <c r="H81">
        <v>0</v>
      </c>
      <c r="J81" s="10">
        <v>32019.8</v>
      </c>
      <c r="L81" s="49">
        <f t="shared" si="1"/>
        <v>32019.8</v>
      </c>
      <c r="N81" s="6" t="str">
        <f>IF(ISERROR(VLOOKUP($A81,'Plano de Contas'!#REF!,8,FALSE)),"",VLOOKUP($A81,'Plano de Contas'!#REF!,8,FALSE))</f>
        <v/>
      </c>
      <c r="P81" s="6" t="str">
        <f>IF(ISERROR(VLOOKUP($A81,'Plano de Contas'!#REF!,10,FALSE)),"",VLOOKUP($A81,'Plano de Contas'!#REF!,10,FALSE))</f>
        <v/>
      </c>
    </row>
    <row r="82" spans="1:16" x14ac:dyDescent="0.25">
      <c r="A82" t="s">
        <v>166</v>
      </c>
      <c r="B82">
        <v>668</v>
      </c>
      <c r="C82" t="s">
        <v>167</v>
      </c>
      <c r="D82" s="10">
        <v>16533.349999999999</v>
      </c>
      <c r="F82">
        <v>0</v>
      </c>
      <c r="H82">
        <v>0</v>
      </c>
      <c r="J82" s="10">
        <v>16533.349999999999</v>
      </c>
      <c r="L82" s="49">
        <f t="shared" si="1"/>
        <v>16533.349999999999</v>
      </c>
      <c r="N82" s="6" t="str">
        <f>IF(ISERROR(VLOOKUP($A82,'Plano de Contas'!#REF!,8,FALSE)),"",VLOOKUP($A82,'Plano de Contas'!#REF!,8,FALSE))</f>
        <v/>
      </c>
      <c r="P82" s="6" t="str">
        <f>IF(ISERROR(VLOOKUP($A82,'Plano de Contas'!#REF!,10,FALSE)),"",VLOOKUP($A82,'Plano de Contas'!#REF!,10,FALSE))</f>
        <v/>
      </c>
    </row>
    <row r="83" spans="1:16" x14ac:dyDescent="0.25">
      <c r="A83" t="s">
        <v>168</v>
      </c>
      <c r="B83">
        <v>683</v>
      </c>
      <c r="C83" t="s">
        <v>169</v>
      </c>
      <c r="D83" s="10">
        <v>380609.42</v>
      </c>
      <c r="F83">
        <v>0</v>
      </c>
      <c r="H83">
        <v>0</v>
      </c>
      <c r="J83" s="10">
        <v>380609.42</v>
      </c>
      <c r="L83" s="49">
        <f t="shared" si="1"/>
        <v>380609.42</v>
      </c>
      <c r="N83" s="6" t="str">
        <f>IF(ISERROR(VLOOKUP($A83,'Plano de Contas'!#REF!,8,FALSE)),"",VLOOKUP($A83,'Plano de Contas'!#REF!,8,FALSE))</f>
        <v/>
      </c>
      <c r="P83" s="6" t="str">
        <f>IF(ISERROR(VLOOKUP($A83,'Plano de Contas'!#REF!,10,FALSE)),"",VLOOKUP($A83,'Plano de Contas'!#REF!,10,FALSE))</f>
        <v/>
      </c>
    </row>
    <row r="84" spans="1:16" x14ac:dyDescent="0.25">
      <c r="A84" t="s">
        <v>170</v>
      </c>
      <c r="B84">
        <v>684</v>
      </c>
      <c r="C84" t="s">
        <v>171</v>
      </c>
      <c r="D84" s="10">
        <v>170707.11</v>
      </c>
      <c r="F84">
        <v>0</v>
      </c>
      <c r="H84">
        <v>0</v>
      </c>
      <c r="J84" s="10">
        <v>170707.11</v>
      </c>
      <c r="L84" s="1">
        <f t="shared" si="1"/>
        <v>170707.11</v>
      </c>
      <c r="N84" s="6" t="str">
        <f>IF(ISERROR(VLOOKUP($A84,'Plano de Contas'!#REF!,8,FALSE)),"",VLOOKUP($A84,'Plano de Contas'!#REF!,8,FALSE))</f>
        <v/>
      </c>
      <c r="P84" s="6" t="str">
        <f>IF(ISERROR(VLOOKUP($A84,'Plano de Contas'!#REF!,10,FALSE)),"",VLOOKUP($A84,'Plano de Contas'!#REF!,10,FALSE))</f>
        <v/>
      </c>
    </row>
    <row r="85" spans="1:16" x14ac:dyDescent="0.25">
      <c r="A85" t="s">
        <v>1455</v>
      </c>
      <c r="B85">
        <v>715</v>
      </c>
      <c r="C85" t="s">
        <v>1484</v>
      </c>
      <c r="D85" s="10">
        <v>1327897.06</v>
      </c>
      <c r="F85">
        <v>0</v>
      </c>
      <c r="H85">
        <v>0</v>
      </c>
      <c r="J85" s="10">
        <v>1327897.06</v>
      </c>
      <c r="L85" s="1">
        <f t="shared" si="1"/>
        <v>1327897.06</v>
      </c>
      <c r="N85" s="6" t="str">
        <f>IF(ISERROR(VLOOKUP($A85,'Plano de Contas'!#REF!,8,FALSE)),"",VLOOKUP($A85,'Plano de Contas'!#REF!,8,FALSE))</f>
        <v/>
      </c>
      <c r="P85" s="6" t="str">
        <f>IF(ISERROR(VLOOKUP($A85,'Plano de Contas'!#REF!,10,FALSE)),"",VLOOKUP($A85,'Plano de Contas'!#REF!,10,FALSE))</f>
        <v/>
      </c>
    </row>
    <row r="86" spans="1:16" x14ac:dyDescent="0.25">
      <c r="A86" t="s">
        <v>1456</v>
      </c>
      <c r="B86">
        <v>716</v>
      </c>
      <c r="C86" t="s">
        <v>1457</v>
      </c>
      <c r="D86" s="10">
        <v>555953.6</v>
      </c>
      <c r="F86">
        <v>0</v>
      </c>
      <c r="H86">
        <v>0</v>
      </c>
      <c r="J86" s="10">
        <v>555953.6</v>
      </c>
      <c r="L86" s="48">
        <f t="shared" si="1"/>
        <v>555953.6</v>
      </c>
      <c r="N86" s="6" t="str">
        <f>IF(ISERROR(VLOOKUP($A86,'Plano de Contas'!#REF!,8,FALSE)),"",VLOOKUP($A86,'Plano de Contas'!#REF!,8,FALSE))</f>
        <v/>
      </c>
      <c r="P86" s="6" t="str">
        <f>IF(ISERROR(VLOOKUP($A86,'Plano de Contas'!#REF!,10,FALSE)),"",VLOOKUP($A86,'Plano de Contas'!#REF!,10,FALSE))</f>
        <v/>
      </c>
    </row>
    <row r="87" spans="1:16" x14ac:dyDescent="0.25">
      <c r="A87" t="s">
        <v>172</v>
      </c>
      <c r="B87">
        <v>717</v>
      </c>
      <c r="C87" t="s">
        <v>173</v>
      </c>
      <c r="D87" s="10">
        <v>1007.74</v>
      </c>
      <c r="F87">
        <v>0</v>
      </c>
      <c r="H87">
        <v>0</v>
      </c>
      <c r="J87" s="10">
        <v>1007.74</v>
      </c>
      <c r="L87" s="48">
        <f t="shared" si="1"/>
        <v>1007.74</v>
      </c>
      <c r="N87" s="6" t="str">
        <f>IF(ISERROR(VLOOKUP($A87,'Plano de Contas'!#REF!,8,FALSE)),"",VLOOKUP($A87,'Plano de Contas'!#REF!,8,FALSE))</f>
        <v/>
      </c>
      <c r="P87" s="6" t="str">
        <f>IF(ISERROR(VLOOKUP($A87,'Plano de Contas'!#REF!,10,FALSE)),"",VLOOKUP($A87,'Plano de Contas'!#REF!,10,FALSE))</f>
        <v/>
      </c>
    </row>
    <row r="88" spans="1:16" x14ac:dyDescent="0.25">
      <c r="A88" t="s">
        <v>174</v>
      </c>
      <c r="B88">
        <v>719</v>
      </c>
      <c r="C88" t="s">
        <v>175</v>
      </c>
      <c r="D88" s="10">
        <v>20954.7</v>
      </c>
      <c r="F88">
        <v>0</v>
      </c>
      <c r="H88">
        <v>0</v>
      </c>
      <c r="J88" s="10">
        <v>20954.7</v>
      </c>
      <c r="L88" s="1">
        <f t="shared" si="1"/>
        <v>20954.7</v>
      </c>
      <c r="N88" s="6" t="str">
        <f>IF(ISERROR(VLOOKUP($A88,'Plano de Contas'!#REF!,8,FALSE)),"",VLOOKUP($A88,'Plano de Contas'!#REF!,8,FALSE))</f>
        <v/>
      </c>
      <c r="P88" s="6" t="str">
        <f>IF(ISERROR(VLOOKUP($A88,'Plano de Contas'!#REF!,10,FALSE)),"",VLOOKUP($A88,'Plano de Contas'!#REF!,10,FALSE))</f>
        <v/>
      </c>
    </row>
    <row r="89" spans="1:16" x14ac:dyDescent="0.25">
      <c r="A89" t="s">
        <v>176</v>
      </c>
      <c r="B89">
        <v>720</v>
      </c>
      <c r="C89" t="s">
        <v>177</v>
      </c>
      <c r="D89" s="10">
        <v>3922.66</v>
      </c>
      <c r="F89">
        <v>0</v>
      </c>
      <c r="H89">
        <v>0</v>
      </c>
      <c r="J89" s="10">
        <v>3922.66</v>
      </c>
      <c r="L89" s="1">
        <f t="shared" si="1"/>
        <v>3922.66</v>
      </c>
      <c r="N89" s="6" t="str">
        <f>IF(ISERROR(VLOOKUP($A89,'Plano de Contas'!#REF!,8,FALSE)),"",VLOOKUP($A89,'Plano de Contas'!#REF!,8,FALSE))</f>
        <v/>
      </c>
      <c r="P89" s="6" t="str">
        <f>IF(ISERROR(VLOOKUP($A89,'Plano de Contas'!#REF!,10,FALSE)),"",VLOOKUP($A89,'Plano de Contas'!#REF!,10,FALSE))</f>
        <v/>
      </c>
    </row>
    <row r="90" spans="1:16" x14ac:dyDescent="0.25">
      <c r="A90" t="s">
        <v>178</v>
      </c>
      <c r="B90">
        <v>755</v>
      </c>
      <c r="C90" t="s">
        <v>179</v>
      </c>
      <c r="D90" s="10">
        <v>425767.52</v>
      </c>
      <c r="F90">
        <v>0</v>
      </c>
      <c r="H90">
        <v>0</v>
      </c>
      <c r="J90" s="10">
        <v>425767.52</v>
      </c>
      <c r="L90" s="49">
        <f t="shared" si="1"/>
        <v>425767.52</v>
      </c>
      <c r="N90" s="6" t="str">
        <f>IF(ISERROR(VLOOKUP($A90,'Plano de Contas'!#REF!,8,FALSE)),"",VLOOKUP($A90,'Plano de Contas'!#REF!,8,FALSE))</f>
        <v/>
      </c>
      <c r="P90" s="6" t="str">
        <f>IF(ISERROR(VLOOKUP($A90,'Plano de Contas'!#REF!,10,FALSE)),"",VLOOKUP($A90,'Plano de Contas'!#REF!,10,FALSE))</f>
        <v/>
      </c>
    </row>
    <row r="91" spans="1:16" x14ac:dyDescent="0.25">
      <c r="L91" s="48">
        <f t="shared" si="1"/>
        <v>0</v>
      </c>
      <c r="N91" s="6" t="str">
        <f>IF(ISERROR(VLOOKUP($A91,'Plano de Contas'!#REF!,8,FALSE)),"",VLOOKUP($A91,'Plano de Contas'!#REF!,8,FALSE))</f>
        <v/>
      </c>
      <c r="P91" s="6" t="str">
        <f>IF(ISERROR(VLOOKUP($A91,'Plano de Contas'!#REF!,10,FALSE)),"",VLOOKUP($A91,'Plano de Contas'!#REF!,10,FALSE))</f>
        <v/>
      </c>
    </row>
    <row r="92" spans="1:16" x14ac:dyDescent="0.25">
      <c r="A92" t="s">
        <v>190</v>
      </c>
      <c r="B92">
        <v>44</v>
      </c>
      <c r="C92" t="s">
        <v>191</v>
      </c>
      <c r="D92" s="10">
        <v>3362401.27</v>
      </c>
      <c r="F92" s="10">
        <v>4136990.44</v>
      </c>
      <c r="H92" s="10">
        <v>1354549.57</v>
      </c>
      <c r="I92" t="s">
        <v>35</v>
      </c>
      <c r="J92" s="10">
        <v>6144842.1399999997</v>
      </c>
      <c r="L92" s="49">
        <f t="shared" si="1"/>
        <v>6144842.1399999997</v>
      </c>
      <c r="N92" s="6" t="str">
        <f>IF(ISERROR(VLOOKUP($A92,'Plano de Contas'!#REF!,8,FALSE)),"",VLOOKUP($A92,'Plano de Contas'!#REF!,8,FALSE))</f>
        <v/>
      </c>
      <c r="P92" s="6" t="str">
        <f>IF(ISERROR(VLOOKUP($A92,'Plano de Contas'!#REF!,10,FALSE)),"",VLOOKUP($A92,'Plano de Contas'!#REF!,10,FALSE))</f>
        <v/>
      </c>
    </row>
    <row r="93" spans="1:16" x14ac:dyDescent="0.25">
      <c r="A93" t="s">
        <v>192</v>
      </c>
      <c r="B93">
        <v>45</v>
      </c>
      <c r="C93" t="s">
        <v>193</v>
      </c>
      <c r="D93" s="10">
        <v>3133561.37</v>
      </c>
      <c r="F93" s="10">
        <v>1909782.4</v>
      </c>
      <c r="H93" s="10">
        <v>1168948.8999999999</v>
      </c>
      <c r="I93" t="s">
        <v>35</v>
      </c>
      <c r="J93" s="10">
        <v>3874394.87</v>
      </c>
      <c r="L93" s="49">
        <f t="shared" si="1"/>
        <v>3874394.87</v>
      </c>
      <c r="N93" s="6" t="str">
        <f>IF(ISERROR(VLOOKUP($A93,'Plano de Contas'!#REF!,8,FALSE)),"",VLOOKUP($A93,'Plano de Contas'!#REF!,8,FALSE))</f>
        <v/>
      </c>
      <c r="P93" s="6" t="str">
        <f>IF(ISERROR(VLOOKUP($A93,'Plano de Contas'!#REF!,10,FALSE)),"",VLOOKUP($A93,'Plano de Contas'!#REF!,10,FALSE))</f>
        <v/>
      </c>
    </row>
    <row r="94" spans="1:16" x14ac:dyDescent="0.25">
      <c r="A94" t="s">
        <v>194</v>
      </c>
      <c r="B94">
        <v>436</v>
      </c>
      <c r="C94" t="s">
        <v>195</v>
      </c>
      <c r="D94" s="10">
        <v>228839.9</v>
      </c>
      <c r="F94" s="10">
        <v>2227208.04</v>
      </c>
      <c r="H94" s="10">
        <v>185600.67</v>
      </c>
      <c r="I94" t="s">
        <v>35</v>
      </c>
      <c r="J94" s="10">
        <v>2270447.27</v>
      </c>
      <c r="L94" s="49">
        <f t="shared" si="1"/>
        <v>2270447.27</v>
      </c>
      <c r="N94" s="6" t="str">
        <f>IF(ISERROR(VLOOKUP($A94,'Plano de Contas'!#REF!,8,FALSE)),"",VLOOKUP($A94,'Plano de Contas'!#REF!,8,FALSE))</f>
        <v/>
      </c>
      <c r="P94" s="6" t="str">
        <f>IF(ISERROR(VLOOKUP($A94,'Plano de Contas'!#REF!,10,FALSE)),"",VLOOKUP($A94,'Plano de Contas'!#REF!,10,FALSE))</f>
        <v/>
      </c>
    </row>
    <row r="95" spans="1:16" x14ac:dyDescent="0.25">
      <c r="L95" s="48">
        <f t="shared" si="1"/>
        <v>0</v>
      </c>
      <c r="N95" s="6" t="str">
        <f>IF(ISERROR(VLOOKUP($A95,'Plano de Contas'!#REF!,8,FALSE)),"",VLOOKUP($A95,'Plano de Contas'!#REF!,8,FALSE))</f>
        <v/>
      </c>
      <c r="P95" s="6" t="str">
        <f>IF(ISERROR(VLOOKUP($A95,'Plano de Contas'!#REF!,10,FALSE)),"",VLOOKUP($A95,'Plano de Contas'!#REF!,10,FALSE))</f>
        <v/>
      </c>
    </row>
    <row r="96" spans="1:16" x14ac:dyDescent="0.25">
      <c r="A96" t="s">
        <v>196</v>
      </c>
      <c r="B96">
        <v>46</v>
      </c>
      <c r="C96" t="s">
        <v>197</v>
      </c>
      <c r="D96" s="10">
        <v>790924.17</v>
      </c>
      <c r="F96">
        <v>0</v>
      </c>
      <c r="H96">
        <v>0</v>
      </c>
      <c r="J96" s="10">
        <v>790924.17</v>
      </c>
      <c r="L96" s="49">
        <f t="shared" si="1"/>
        <v>790924.17</v>
      </c>
      <c r="N96" s="6" t="str">
        <f>IF(ISERROR(VLOOKUP($A96,'Plano de Contas'!#REF!,8,FALSE)),"",VLOOKUP($A96,'Plano de Contas'!#REF!,8,FALSE))</f>
        <v/>
      </c>
      <c r="P96" s="6" t="str">
        <f>IF(ISERROR(VLOOKUP($A96,'Plano de Contas'!#REF!,10,FALSE)),"",VLOOKUP($A96,'Plano de Contas'!#REF!,10,FALSE))</f>
        <v/>
      </c>
    </row>
    <row r="97" spans="1:16" x14ac:dyDescent="0.25">
      <c r="A97" t="s">
        <v>198</v>
      </c>
      <c r="B97">
        <v>528</v>
      </c>
      <c r="C97" t="s">
        <v>199</v>
      </c>
      <c r="D97" s="10">
        <v>35713.019999999997</v>
      </c>
      <c r="F97">
        <v>0</v>
      </c>
      <c r="H97">
        <v>0</v>
      </c>
      <c r="J97" s="10">
        <v>35713.019999999997</v>
      </c>
      <c r="L97" s="1">
        <f t="shared" si="1"/>
        <v>35713.019999999997</v>
      </c>
      <c r="N97" s="6" t="str">
        <f>IF(ISERROR(VLOOKUP($A97,'Plano de Contas'!#REF!,8,FALSE)),"",VLOOKUP($A97,'Plano de Contas'!#REF!,8,FALSE))</f>
        <v/>
      </c>
      <c r="P97" s="6" t="str">
        <f>IF(ISERROR(VLOOKUP($A97,'Plano de Contas'!#REF!,10,FALSE)),"",VLOOKUP($A97,'Plano de Contas'!#REF!,10,FALSE))</f>
        <v/>
      </c>
    </row>
    <row r="98" spans="1:16" x14ac:dyDescent="0.25">
      <c r="A98" t="s">
        <v>200</v>
      </c>
      <c r="B98">
        <v>902</v>
      </c>
      <c r="C98" t="s">
        <v>201</v>
      </c>
      <c r="D98" s="10">
        <v>466072.43</v>
      </c>
      <c r="F98">
        <v>0</v>
      </c>
      <c r="H98">
        <v>0</v>
      </c>
      <c r="J98" s="10">
        <v>466072.43</v>
      </c>
      <c r="L98" s="1">
        <f t="shared" si="1"/>
        <v>466072.43</v>
      </c>
      <c r="N98" s="6" t="str">
        <f>IF(ISERROR(VLOOKUP($A98,'Plano de Contas'!#REF!,8,FALSE)),"",VLOOKUP($A98,'Plano de Contas'!#REF!,8,FALSE))</f>
        <v/>
      </c>
      <c r="P98" s="6" t="str">
        <f>IF(ISERROR(VLOOKUP($A98,'Plano de Contas'!#REF!,10,FALSE)),"",VLOOKUP($A98,'Plano de Contas'!#REF!,10,FALSE))</f>
        <v/>
      </c>
    </row>
    <row r="99" spans="1:16" x14ac:dyDescent="0.25">
      <c r="A99" t="s">
        <v>202</v>
      </c>
      <c r="B99">
        <v>527</v>
      </c>
      <c r="C99" t="s">
        <v>203</v>
      </c>
      <c r="D99">
        <v>29.99</v>
      </c>
      <c r="E99" t="s">
        <v>35</v>
      </c>
      <c r="F99">
        <v>0</v>
      </c>
      <c r="H99">
        <v>0</v>
      </c>
      <c r="J99">
        <v>29.99</v>
      </c>
      <c r="K99" t="s">
        <v>35</v>
      </c>
      <c r="L99" s="49">
        <f t="shared" si="1"/>
        <v>-29.99</v>
      </c>
      <c r="N99" s="6" t="str">
        <f>IF(ISERROR(VLOOKUP($A99,'Plano de Contas'!#REF!,8,FALSE)),"",VLOOKUP($A99,'Plano de Contas'!#REF!,8,FALSE))</f>
        <v/>
      </c>
      <c r="P99" s="6" t="str">
        <f>IF(ISERROR(VLOOKUP($A99,'Plano de Contas'!#REF!,10,FALSE)),"",VLOOKUP($A99,'Plano de Contas'!#REF!,10,FALSE))</f>
        <v/>
      </c>
    </row>
    <row r="100" spans="1:16" x14ac:dyDescent="0.25">
      <c r="A100" t="s">
        <v>204</v>
      </c>
      <c r="B100">
        <v>529</v>
      </c>
      <c r="C100" t="s">
        <v>205</v>
      </c>
      <c r="D100">
        <v>797.8</v>
      </c>
      <c r="E100" t="s">
        <v>35</v>
      </c>
      <c r="F100">
        <v>0</v>
      </c>
      <c r="H100">
        <v>0</v>
      </c>
      <c r="J100">
        <v>797.8</v>
      </c>
      <c r="K100" t="s">
        <v>35</v>
      </c>
      <c r="L100" s="49">
        <f t="shared" si="1"/>
        <v>-797.8</v>
      </c>
      <c r="N100" s="6" t="str">
        <f>IF(ISERROR(VLOOKUP($A100,'Plano de Contas'!#REF!,8,FALSE)),"",VLOOKUP($A100,'Plano de Contas'!#REF!,8,FALSE))</f>
        <v/>
      </c>
      <c r="P100" s="6" t="str">
        <f>IF(ISERROR(VLOOKUP($A100,'Plano de Contas'!#REF!,10,FALSE)),"",VLOOKUP($A100,'Plano de Contas'!#REF!,10,FALSE))</f>
        <v/>
      </c>
    </row>
    <row r="101" spans="1:16" x14ac:dyDescent="0.25">
      <c r="A101" t="s">
        <v>206</v>
      </c>
      <c r="B101">
        <v>550</v>
      </c>
      <c r="C101" t="s">
        <v>207</v>
      </c>
      <c r="D101" s="10">
        <v>149754.76</v>
      </c>
      <c r="F101">
        <v>0</v>
      </c>
      <c r="H101">
        <v>0</v>
      </c>
      <c r="J101" s="10">
        <v>149754.76</v>
      </c>
      <c r="L101" s="1">
        <f t="shared" si="1"/>
        <v>149754.76</v>
      </c>
      <c r="N101" s="6" t="str">
        <f>IF(ISERROR(VLOOKUP($A101,'Plano de Contas'!#REF!,8,FALSE)),"",VLOOKUP($A101,'Plano de Contas'!#REF!,8,FALSE))</f>
        <v/>
      </c>
      <c r="P101" s="6" t="str">
        <f>IF(ISERROR(VLOOKUP($A101,'Plano de Contas'!#REF!,10,FALSE)),"",VLOOKUP($A101,'Plano de Contas'!#REF!,10,FALSE))</f>
        <v/>
      </c>
    </row>
    <row r="102" spans="1:16" x14ac:dyDescent="0.25">
      <c r="A102" t="s">
        <v>208</v>
      </c>
      <c r="B102">
        <v>672</v>
      </c>
      <c r="C102" t="s">
        <v>209</v>
      </c>
      <c r="D102" s="10">
        <v>12583.01</v>
      </c>
      <c r="F102">
        <v>0</v>
      </c>
      <c r="H102">
        <v>0</v>
      </c>
      <c r="J102" s="10">
        <v>12583.01</v>
      </c>
      <c r="L102" s="1">
        <f t="shared" si="1"/>
        <v>12583.01</v>
      </c>
      <c r="N102" s="6" t="str">
        <f>IF(ISERROR(VLOOKUP($A102,'Plano de Contas'!#REF!,8,FALSE)),"",VLOOKUP($A102,'Plano de Contas'!#REF!,8,FALSE))</f>
        <v/>
      </c>
      <c r="P102" s="6" t="str">
        <f>IF(ISERROR(VLOOKUP($A102,'Plano de Contas'!#REF!,10,FALSE)),"",VLOOKUP($A102,'Plano de Contas'!#REF!,10,FALSE))</f>
        <v/>
      </c>
    </row>
    <row r="103" spans="1:16" x14ac:dyDescent="0.25">
      <c r="A103" t="s">
        <v>210</v>
      </c>
      <c r="B103">
        <v>901</v>
      </c>
      <c r="C103" t="s">
        <v>211</v>
      </c>
      <c r="D103" s="10">
        <v>97151.67</v>
      </c>
      <c r="F103">
        <v>0</v>
      </c>
      <c r="H103">
        <v>0</v>
      </c>
      <c r="J103" s="10">
        <v>97151.67</v>
      </c>
      <c r="L103" s="48">
        <f t="shared" si="1"/>
        <v>97151.67</v>
      </c>
      <c r="N103" s="6" t="str">
        <f>IF(ISERROR(VLOOKUP($A103,'Plano de Contas'!#REF!,8,FALSE)),"",VLOOKUP($A103,'Plano de Contas'!#REF!,8,FALSE))</f>
        <v/>
      </c>
      <c r="P103" s="6" t="str">
        <f>IF(ISERROR(VLOOKUP($A103,'Plano de Contas'!#REF!,10,FALSE)),"",VLOOKUP($A103,'Plano de Contas'!#REF!,10,FALSE))</f>
        <v/>
      </c>
    </row>
    <row r="104" spans="1:16" x14ac:dyDescent="0.25">
      <c r="A104" t="s">
        <v>212</v>
      </c>
      <c r="B104">
        <v>924</v>
      </c>
      <c r="C104" t="s">
        <v>213</v>
      </c>
      <c r="D104" s="10">
        <v>30477.07</v>
      </c>
      <c r="F104">
        <v>0</v>
      </c>
      <c r="H104">
        <v>0</v>
      </c>
      <c r="J104" s="10">
        <v>30477.07</v>
      </c>
      <c r="L104" s="48">
        <f t="shared" si="1"/>
        <v>30477.07</v>
      </c>
      <c r="N104" s="6" t="str">
        <f>IF(ISERROR(VLOOKUP($A104,'Plano de Contas'!#REF!,8,FALSE)),"",VLOOKUP($A104,'Plano de Contas'!#REF!,8,FALSE))</f>
        <v/>
      </c>
      <c r="P104" s="6" t="str">
        <f>IF(ISERROR(VLOOKUP($A104,'Plano de Contas'!#REF!,10,FALSE)),"",VLOOKUP($A104,'Plano de Contas'!#REF!,10,FALSE))</f>
        <v/>
      </c>
    </row>
    <row r="105" spans="1:16" x14ac:dyDescent="0.25">
      <c r="L105" s="1">
        <f t="shared" si="1"/>
        <v>0</v>
      </c>
      <c r="N105" s="6" t="str">
        <f>IF(ISERROR(VLOOKUP($A105,'Plano de Contas'!#REF!,8,FALSE)),"",VLOOKUP($A105,'Plano de Contas'!#REF!,8,FALSE))</f>
        <v/>
      </c>
      <c r="P105" s="6" t="str">
        <f>IF(ISERROR(VLOOKUP($A105,'Plano de Contas'!#REF!,10,FALSE)),"",VLOOKUP($A105,'Plano de Contas'!#REF!,10,FALSE))</f>
        <v/>
      </c>
    </row>
    <row r="106" spans="1:16" x14ac:dyDescent="0.25">
      <c r="A106" t="s">
        <v>216</v>
      </c>
      <c r="B106">
        <v>697</v>
      </c>
      <c r="C106" t="s">
        <v>217</v>
      </c>
      <c r="D106" s="10">
        <v>91664</v>
      </c>
      <c r="F106" s="10">
        <v>20821.849999999999</v>
      </c>
      <c r="H106" s="10">
        <v>65082.39</v>
      </c>
      <c r="I106" t="s">
        <v>35</v>
      </c>
      <c r="J106" s="10">
        <v>47403.46</v>
      </c>
      <c r="L106" s="1">
        <f t="shared" si="1"/>
        <v>47403.46</v>
      </c>
      <c r="N106" s="6" t="str">
        <f>IF(ISERROR(VLOOKUP($A106,'Plano de Contas'!#REF!,8,FALSE)),"",VLOOKUP($A106,'Plano de Contas'!#REF!,8,FALSE))</f>
        <v/>
      </c>
      <c r="P106" s="6" t="str">
        <f>IF(ISERROR(VLOOKUP($A106,'Plano de Contas'!#REF!,10,FALSE)),"",VLOOKUP($A106,'Plano de Contas'!#REF!,10,FALSE))</f>
        <v/>
      </c>
    </row>
    <row r="107" spans="1:16" x14ac:dyDescent="0.25">
      <c r="A107" t="s">
        <v>218</v>
      </c>
      <c r="B107">
        <v>698</v>
      </c>
      <c r="C107" t="s">
        <v>219</v>
      </c>
      <c r="D107" s="10">
        <v>3745.92</v>
      </c>
      <c r="F107">
        <v>8.0399999999999991</v>
      </c>
      <c r="H107" s="10">
        <v>2480.2399999999998</v>
      </c>
      <c r="I107" t="s">
        <v>35</v>
      </c>
      <c r="J107" s="10">
        <v>1273.72</v>
      </c>
      <c r="L107" s="48">
        <f t="shared" si="1"/>
        <v>1273.72</v>
      </c>
      <c r="N107" s="6" t="str">
        <f>IF(ISERROR(VLOOKUP($A107,'Plano de Contas'!#REF!,8,FALSE)),"",VLOOKUP($A107,'Plano de Contas'!#REF!,8,FALSE))</f>
        <v/>
      </c>
      <c r="P107" s="6" t="str">
        <f>IF(ISERROR(VLOOKUP($A107,'Plano de Contas'!#REF!,10,FALSE)),"",VLOOKUP($A107,'Plano de Contas'!#REF!,10,FALSE))</f>
        <v/>
      </c>
    </row>
    <row r="108" spans="1:16" x14ac:dyDescent="0.25">
      <c r="A108" t="s">
        <v>220</v>
      </c>
      <c r="B108">
        <v>781</v>
      </c>
      <c r="C108" t="s">
        <v>221</v>
      </c>
      <c r="D108" s="10">
        <v>87918.080000000002</v>
      </c>
      <c r="F108" s="10">
        <v>2273.62</v>
      </c>
      <c r="H108" s="10">
        <v>62602.15</v>
      </c>
      <c r="I108" t="s">
        <v>35</v>
      </c>
      <c r="J108" s="10">
        <v>27589.55</v>
      </c>
      <c r="L108" s="48">
        <f t="shared" si="1"/>
        <v>27589.55</v>
      </c>
      <c r="N108" s="6" t="str">
        <f>IF(ISERROR(VLOOKUP($A108,'Plano de Contas'!#REF!,8,FALSE)),"",VLOOKUP($A108,'Plano de Contas'!#REF!,8,FALSE))</f>
        <v/>
      </c>
      <c r="P108" s="6" t="str">
        <f>IF(ISERROR(VLOOKUP($A108,'Plano de Contas'!#REF!,10,FALSE)),"",VLOOKUP($A108,'Plano de Contas'!#REF!,10,FALSE))</f>
        <v/>
      </c>
    </row>
    <row r="109" spans="1:16" x14ac:dyDescent="0.25">
      <c r="A109" t="s">
        <v>222</v>
      </c>
      <c r="B109">
        <v>922</v>
      </c>
      <c r="C109" t="s">
        <v>223</v>
      </c>
      <c r="D109">
        <v>0</v>
      </c>
      <c r="F109" s="10">
        <v>18540.189999999999</v>
      </c>
      <c r="H109">
        <v>0</v>
      </c>
      <c r="J109" s="10">
        <v>18540.189999999999</v>
      </c>
      <c r="L109" s="48">
        <f t="shared" si="1"/>
        <v>18540.189999999999</v>
      </c>
      <c r="N109" s="6" t="str">
        <f>IF(ISERROR(VLOOKUP($A109,'Plano de Contas'!#REF!,8,FALSE)),"",VLOOKUP($A109,'Plano de Contas'!#REF!,8,FALSE))</f>
        <v/>
      </c>
      <c r="P109" s="6" t="str">
        <f>IF(ISERROR(VLOOKUP($A109,'Plano de Contas'!#REF!,10,FALSE)),"",VLOOKUP($A109,'Plano de Contas'!#REF!,10,FALSE))</f>
        <v/>
      </c>
    </row>
    <row r="110" spans="1:16" x14ac:dyDescent="0.25">
      <c r="L110" s="48">
        <f t="shared" si="1"/>
        <v>0</v>
      </c>
      <c r="N110" s="6" t="str">
        <f>IF(ISERROR(VLOOKUP($A110,'Plano de Contas'!#REF!,8,FALSE)),"",VLOOKUP($A110,'Plano de Contas'!#REF!,8,FALSE))</f>
        <v/>
      </c>
      <c r="P110" s="6" t="str">
        <f>IF(ISERROR(VLOOKUP($A110,'Plano de Contas'!#REF!,10,FALSE)),"",VLOOKUP($A110,'Plano de Contas'!#REF!,10,FALSE))</f>
        <v/>
      </c>
    </row>
    <row r="111" spans="1:16" x14ac:dyDescent="0.25">
      <c r="A111" t="s">
        <v>224</v>
      </c>
      <c r="B111">
        <v>48</v>
      </c>
      <c r="C111" t="s">
        <v>225</v>
      </c>
      <c r="D111" s="10">
        <v>16457976.359999999</v>
      </c>
      <c r="F111" s="10">
        <v>3732</v>
      </c>
      <c r="H111">
        <v>0</v>
      </c>
      <c r="J111" s="10">
        <v>16461708.359999999</v>
      </c>
      <c r="L111" s="48">
        <f t="shared" si="1"/>
        <v>16461708.359999999</v>
      </c>
      <c r="N111" s="6" t="str">
        <f>IF(ISERROR(VLOOKUP($A111,'Plano de Contas'!#REF!,8,FALSE)),"",VLOOKUP($A111,'Plano de Contas'!#REF!,8,FALSE))</f>
        <v/>
      </c>
      <c r="P111" s="6" t="str">
        <f>IF(ISERROR(VLOOKUP($A111,'Plano de Contas'!#REF!,10,FALSE)),"",VLOOKUP($A111,'Plano de Contas'!#REF!,10,FALSE))</f>
        <v/>
      </c>
    </row>
    <row r="112" spans="1:16" x14ac:dyDescent="0.25">
      <c r="A112" t="s">
        <v>226</v>
      </c>
      <c r="B112">
        <v>316</v>
      </c>
      <c r="C112" t="s">
        <v>227</v>
      </c>
      <c r="D112" s="10">
        <v>14382732.75</v>
      </c>
      <c r="F112" s="10">
        <v>3732</v>
      </c>
      <c r="H112">
        <v>0</v>
      </c>
      <c r="J112" s="10">
        <v>14386464.75</v>
      </c>
      <c r="L112" s="48">
        <f t="shared" si="1"/>
        <v>14386464.75</v>
      </c>
      <c r="N112" s="6" t="str">
        <f>IF(ISERROR(VLOOKUP($A112,'Plano de Contas'!#REF!,8,FALSE)),"",VLOOKUP($A112,'Plano de Contas'!#REF!,8,FALSE))</f>
        <v/>
      </c>
      <c r="P112" s="6" t="str">
        <f>IF(ISERROR(VLOOKUP($A112,'Plano de Contas'!#REF!,10,FALSE)),"",VLOOKUP($A112,'Plano de Contas'!#REF!,10,FALSE))</f>
        <v/>
      </c>
    </row>
    <row r="113" spans="1:16" x14ac:dyDescent="0.25">
      <c r="A113" t="s">
        <v>228</v>
      </c>
      <c r="B113">
        <v>317</v>
      </c>
      <c r="C113" t="s">
        <v>229</v>
      </c>
      <c r="D113" s="10">
        <v>2075243.61</v>
      </c>
      <c r="F113">
        <v>0</v>
      </c>
      <c r="H113">
        <v>0</v>
      </c>
      <c r="J113" s="10">
        <v>2075243.61</v>
      </c>
      <c r="L113" s="48">
        <f t="shared" si="1"/>
        <v>2075243.61</v>
      </c>
      <c r="N113" s="6" t="str">
        <f>IF(ISERROR(VLOOKUP($A113,'Plano de Contas'!#REF!,8,FALSE)),"",VLOOKUP($A113,'Plano de Contas'!#REF!,8,FALSE))</f>
        <v/>
      </c>
      <c r="P113" s="6" t="str">
        <f>IF(ISERROR(VLOOKUP($A113,'Plano de Contas'!#REF!,10,FALSE)),"",VLOOKUP($A113,'Plano de Contas'!#REF!,10,FALSE))</f>
        <v/>
      </c>
    </row>
    <row r="114" spans="1:16" x14ac:dyDescent="0.25">
      <c r="L114" s="1">
        <f t="shared" si="1"/>
        <v>0</v>
      </c>
      <c r="N114" s="6" t="str">
        <f>IF(ISERROR(VLOOKUP($A114,'Plano de Contas'!#REF!,8,FALSE)),"",VLOOKUP($A114,'Plano de Contas'!#REF!,8,FALSE))</f>
        <v/>
      </c>
      <c r="P114" s="6" t="str">
        <f>IF(ISERROR(VLOOKUP($A114,'Plano de Contas'!#REF!,10,FALSE)),"",VLOOKUP($A114,'Plano de Contas'!#REF!,10,FALSE))</f>
        <v/>
      </c>
    </row>
    <row r="115" spans="1:16" x14ac:dyDescent="0.25">
      <c r="A115" t="s">
        <v>230</v>
      </c>
      <c r="B115">
        <v>50</v>
      </c>
      <c r="C115" t="s">
        <v>231</v>
      </c>
      <c r="D115" s="10">
        <v>753063.99</v>
      </c>
      <c r="F115">
        <v>0</v>
      </c>
      <c r="H115" s="10">
        <v>4346.32</v>
      </c>
      <c r="I115" t="s">
        <v>35</v>
      </c>
      <c r="J115" s="10">
        <v>748717.67</v>
      </c>
      <c r="L115" s="1">
        <f t="shared" si="1"/>
        <v>748717.67</v>
      </c>
      <c r="N115" s="6" t="str">
        <f>IF(ISERROR(VLOOKUP($A115,'Plano de Contas'!#REF!,8,FALSE)),"",VLOOKUP($A115,'Plano de Contas'!#REF!,8,FALSE))</f>
        <v/>
      </c>
      <c r="P115" s="6" t="str">
        <f>IF(ISERROR(VLOOKUP($A115,'Plano de Contas'!#REF!,10,FALSE)),"",VLOOKUP($A115,'Plano de Contas'!#REF!,10,FALSE))</f>
        <v/>
      </c>
    </row>
    <row r="116" spans="1:16" x14ac:dyDescent="0.25">
      <c r="A116" t="s">
        <v>232</v>
      </c>
      <c r="B116">
        <v>427</v>
      </c>
      <c r="C116" t="s">
        <v>233</v>
      </c>
      <c r="D116" s="10">
        <v>117470.03</v>
      </c>
      <c r="F116">
        <v>0</v>
      </c>
      <c r="H116">
        <v>0</v>
      </c>
      <c r="J116" s="10">
        <v>117470.03</v>
      </c>
      <c r="L116" s="1">
        <f t="shared" si="1"/>
        <v>117470.03</v>
      </c>
      <c r="N116" s="6" t="str">
        <f>IF(ISERROR(VLOOKUP($A116,'Plano de Contas'!#REF!,8,FALSE)),"",VLOOKUP($A116,'Plano de Contas'!#REF!,8,FALSE))</f>
        <v/>
      </c>
      <c r="P116" s="6" t="str">
        <f>IF(ISERROR(VLOOKUP($A116,'Plano de Contas'!#REF!,10,FALSE)),"",VLOOKUP($A116,'Plano de Contas'!#REF!,10,FALSE))</f>
        <v/>
      </c>
    </row>
    <row r="117" spans="1:16" x14ac:dyDescent="0.25">
      <c r="A117" t="s">
        <v>234</v>
      </c>
      <c r="B117">
        <v>438</v>
      </c>
      <c r="C117" t="s">
        <v>235</v>
      </c>
      <c r="D117" s="10">
        <v>10958.28</v>
      </c>
      <c r="F117">
        <v>0</v>
      </c>
      <c r="H117" s="10">
        <v>4346.32</v>
      </c>
      <c r="I117" t="s">
        <v>35</v>
      </c>
      <c r="J117" s="10">
        <v>6611.96</v>
      </c>
      <c r="L117" s="48">
        <f t="shared" si="1"/>
        <v>6611.96</v>
      </c>
      <c r="N117" s="6" t="str">
        <f>IF(ISERROR(VLOOKUP($A117,'Plano de Contas'!#REF!,8,FALSE)),"",VLOOKUP($A117,'Plano de Contas'!#REF!,8,FALSE))</f>
        <v/>
      </c>
      <c r="P117" s="6" t="str">
        <f>IF(ISERROR(VLOOKUP($A117,'Plano de Contas'!#REF!,10,FALSE)),"",VLOOKUP($A117,'Plano de Contas'!#REF!,10,FALSE))</f>
        <v/>
      </c>
    </row>
    <row r="118" spans="1:16" x14ac:dyDescent="0.25">
      <c r="A118" t="s">
        <v>236</v>
      </c>
      <c r="B118">
        <v>539</v>
      </c>
      <c r="C118" t="s">
        <v>237</v>
      </c>
      <c r="D118" s="10">
        <v>329681.57</v>
      </c>
      <c r="F118">
        <v>0</v>
      </c>
      <c r="H118">
        <v>0</v>
      </c>
      <c r="J118" s="10">
        <v>329681.57</v>
      </c>
      <c r="L118" s="48">
        <f t="shared" si="1"/>
        <v>329681.57</v>
      </c>
      <c r="N118" s="6" t="str">
        <f>IF(ISERROR(VLOOKUP($A118,'Plano de Contas'!#REF!,8,FALSE)),"",VLOOKUP($A118,'Plano de Contas'!#REF!,8,FALSE))</f>
        <v/>
      </c>
      <c r="P118" s="6" t="str">
        <f>IF(ISERROR(VLOOKUP($A118,'Plano de Contas'!#REF!,10,FALSE)),"",VLOOKUP($A118,'Plano de Contas'!#REF!,10,FALSE))</f>
        <v/>
      </c>
    </row>
    <row r="119" spans="1:16" x14ac:dyDescent="0.25">
      <c r="A119" t="s">
        <v>238</v>
      </c>
      <c r="B119">
        <v>541</v>
      </c>
      <c r="C119" t="s">
        <v>239</v>
      </c>
      <c r="D119" s="10">
        <v>36420.910000000003</v>
      </c>
      <c r="F119">
        <v>0</v>
      </c>
      <c r="H119">
        <v>0</v>
      </c>
      <c r="J119" s="10">
        <v>36420.910000000003</v>
      </c>
      <c r="L119" s="1">
        <f t="shared" si="1"/>
        <v>36420.910000000003</v>
      </c>
      <c r="N119" s="6" t="str">
        <f>IF(ISERROR(VLOOKUP($A119,'Plano de Contas'!#REF!,8,FALSE)),"",VLOOKUP($A119,'Plano de Contas'!#REF!,8,FALSE))</f>
        <v/>
      </c>
      <c r="P119" s="6" t="str">
        <f>IF(ISERROR(VLOOKUP($A119,'Plano de Contas'!#REF!,10,FALSE)),"",VLOOKUP($A119,'Plano de Contas'!#REF!,10,FALSE))</f>
        <v/>
      </c>
    </row>
    <row r="120" spans="1:16" x14ac:dyDescent="0.25">
      <c r="A120" t="s">
        <v>240</v>
      </c>
      <c r="B120">
        <v>543</v>
      </c>
      <c r="C120" t="s">
        <v>241</v>
      </c>
      <c r="D120" s="10">
        <v>49441.29</v>
      </c>
      <c r="F120">
        <v>0</v>
      </c>
      <c r="H120">
        <v>0</v>
      </c>
      <c r="J120" s="10">
        <v>49441.29</v>
      </c>
      <c r="L120" s="1">
        <f t="shared" si="1"/>
        <v>49441.29</v>
      </c>
      <c r="N120" s="6" t="str">
        <f>IF(ISERROR(VLOOKUP($A120,'Plano de Contas'!#REF!,8,FALSE)),"",VLOOKUP($A120,'Plano de Contas'!#REF!,8,FALSE))</f>
        <v/>
      </c>
      <c r="P120" s="6" t="str">
        <f>IF(ISERROR(VLOOKUP($A120,'Plano de Contas'!#REF!,10,FALSE)),"",VLOOKUP($A120,'Plano de Contas'!#REF!,10,FALSE))</f>
        <v/>
      </c>
    </row>
    <row r="121" spans="1:16" x14ac:dyDescent="0.25">
      <c r="A121" t="s">
        <v>242</v>
      </c>
      <c r="B121">
        <v>559</v>
      </c>
      <c r="C121" t="s">
        <v>243</v>
      </c>
      <c r="D121" s="10">
        <v>209091.91</v>
      </c>
      <c r="F121">
        <v>0</v>
      </c>
      <c r="H121">
        <v>0</v>
      </c>
      <c r="J121" s="10">
        <v>209091.91</v>
      </c>
      <c r="L121" s="1">
        <f t="shared" si="1"/>
        <v>209091.91</v>
      </c>
      <c r="N121" s="6" t="str">
        <f>IF(ISERROR(VLOOKUP($A121,'Plano de Contas'!#REF!,8,FALSE)),"",VLOOKUP($A121,'Plano de Contas'!#REF!,8,FALSE))</f>
        <v/>
      </c>
      <c r="P121" s="6" t="str">
        <f>IF(ISERROR(VLOOKUP($A121,'Plano de Contas'!#REF!,10,FALSE)),"",VLOOKUP($A121,'Plano de Contas'!#REF!,10,FALSE))</f>
        <v/>
      </c>
    </row>
    <row r="122" spans="1:16" x14ac:dyDescent="0.25">
      <c r="L122" s="1">
        <f t="shared" si="1"/>
        <v>0</v>
      </c>
      <c r="N122" s="6" t="str">
        <f>IF(ISERROR(VLOOKUP($A122,'Plano de Contas'!#REF!,8,FALSE)),"",VLOOKUP($A122,'Plano de Contas'!#REF!,8,FALSE))</f>
        <v/>
      </c>
      <c r="P122" s="6" t="str">
        <f>IF(ISERROR(VLOOKUP($A122,'Plano de Contas'!#REF!,10,FALSE)),"",VLOOKUP($A122,'Plano de Contas'!#REF!,10,FALSE))</f>
        <v/>
      </c>
    </row>
    <row r="123" spans="1:16" x14ac:dyDescent="0.25">
      <c r="A123" t="s">
        <v>244</v>
      </c>
      <c r="B123">
        <v>51</v>
      </c>
      <c r="C123" t="s">
        <v>245</v>
      </c>
      <c r="D123" s="10">
        <v>572783.02</v>
      </c>
      <c r="F123" s="10">
        <v>5856.79</v>
      </c>
      <c r="H123" s="10">
        <v>577441.57999999996</v>
      </c>
      <c r="I123" t="s">
        <v>35</v>
      </c>
      <c r="J123" s="10">
        <v>1198.23</v>
      </c>
      <c r="L123" s="1">
        <f t="shared" si="1"/>
        <v>1198.23</v>
      </c>
      <c r="N123" s="6" t="str">
        <f>IF(ISERROR(VLOOKUP($A123,'Plano de Contas'!#REF!,8,FALSE)),"",VLOOKUP($A123,'Plano de Contas'!#REF!,8,FALSE))</f>
        <v/>
      </c>
      <c r="P123" s="6" t="str">
        <f>IF(ISERROR(VLOOKUP($A123,'Plano de Contas'!#REF!,10,FALSE)),"",VLOOKUP($A123,'Plano de Contas'!#REF!,10,FALSE))</f>
        <v/>
      </c>
    </row>
    <row r="124" spans="1:16" x14ac:dyDescent="0.25">
      <c r="L124" s="1">
        <f t="shared" si="1"/>
        <v>0</v>
      </c>
      <c r="N124" s="6" t="str">
        <f>IF(ISERROR(VLOOKUP($A124,'Plano de Contas'!#REF!,8,FALSE)),"",VLOOKUP($A124,'Plano de Contas'!#REF!,8,FALSE))</f>
        <v/>
      </c>
      <c r="P124" s="6" t="str">
        <f>IF(ISERROR(VLOOKUP($A124,'Plano de Contas'!#REF!,10,FALSE)),"",VLOOKUP($A124,'Plano de Contas'!#REF!,10,FALSE))</f>
        <v/>
      </c>
    </row>
    <row r="125" spans="1:16" x14ac:dyDescent="0.25">
      <c r="A125" t="s">
        <v>246</v>
      </c>
      <c r="B125">
        <v>53</v>
      </c>
      <c r="C125" t="s">
        <v>247</v>
      </c>
      <c r="D125" s="10">
        <v>572783.02</v>
      </c>
      <c r="F125" s="10">
        <v>5856.79</v>
      </c>
      <c r="H125" s="10">
        <v>577441.57999999996</v>
      </c>
      <c r="I125" t="s">
        <v>35</v>
      </c>
      <c r="J125" s="10">
        <v>1198.23</v>
      </c>
      <c r="L125" s="1">
        <f t="shared" si="1"/>
        <v>1198.23</v>
      </c>
      <c r="N125" s="6" t="str">
        <f>IF(ISERROR(VLOOKUP($A125,'Plano de Contas'!#REF!,8,FALSE)),"",VLOOKUP($A125,'Plano de Contas'!#REF!,8,FALSE))</f>
        <v/>
      </c>
      <c r="P125" s="6" t="str">
        <f>IF(ISERROR(VLOOKUP($A125,'Plano de Contas'!#REF!,10,FALSE)),"",VLOOKUP($A125,'Plano de Contas'!#REF!,10,FALSE))</f>
        <v/>
      </c>
    </row>
    <row r="126" spans="1:16" x14ac:dyDescent="0.25">
      <c r="A126" t="s">
        <v>248</v>
      </c>
      <c r="B126">
        <v>319</v>
      </c>
      <c r="C126" t="s">
        <v>249</v>
      </c>
      <c r="D126" s="10">
        <v>528374.24</v>
      </c>
      <c r="F126" s="10">
        <v>5856.79</v>
      </c>
      <c r="H126" s="10">
        <v>533032.80000000005</v>
      </c>
      <c r="I126" t="s">
        <v>35</v>
      </c>
      <c r="J126" s="10">
        <v>1198.23</v>
      </c>
      <c r="L126" s="1">
        <f t="shared" si="1"/>
        <v>1198.23</v>
      </c>
      <c r="N126" s="6" t="str">
        <f>IF(ISERROR(VLOOKUP($A126,'Plano de Contas'!#REF!,8,FALSE)),"",VLOOKUP($A126,'Plano de Contas'!#REF!,8,FALSE))</f>
        <v/>
      </c>
      <c r="P126" s="6" t="str">
        <f>IF(ISERROR(VLOOKUP($A126,'Plano de Contas'!#REF!,10,FALSE)),"",VLOOKUP($A126,'Plano de Contas'!#REF!,10,FALSE))</f>
        <v/>
      </c>
    </row>
    <row r="127" spans="1:16" x14ac:dyDescent="0.25">
      <c r="A127" t="s">
        <v>1009</v>
      </c>
      <c r="B127">
        <v>320</v>
      </c>
      <c r="C127" t="s">
        <v>1010</v>
      </c>
      <c r="D127" s="10">
        <v>44408.78</v>
      </c>
      <c r="F127">
        <v>0</v>
      </c>
      <c r="H127" s="10">
        <v>44408.78</v>
      </c>
      <c r="I127" t="s">
        <v>35</v>
      </c>
      <c r="J127">
        <v>0</v>
      </c>
      <c r="L127" s="1">
        <f t="shared" si="1"/>
        <v>0</v>
      </c>
      <c r="N127" s="6" t="str">
        <f>IF(ISERROR(VLOOKUP($A127,'Plano de Contas'!#REF!,8,FALSE)),"",VLOOKUP($A127,'Plano de Contas'!#REF!,8,FALSE))</f>
        <v/>
      </c>
      <c r="P127" s="6" t="str">
        <f>IF(ISERROR(VLOOKUP($A127,'Plano de Contas'!#REF!,10,FALSE)),"",VLOOKUP($A127,'Plano de Contas'!#REF!,10,FALSE))</f>
        <v/>
      </c>
    </row>
    <row r="128" spans="1:16" x14ac:dyDescent="0.25">
      <c r="L128" s="1">
        <f t="shared" si="1"/>
        <v>0</v>
      </c>
      <c r="N128" s="6" t="str">
        <f>IF(ISERROR(VLOOKUP($A128,'Plano de Contas'!#REF!,8,FALSE)),"",VLOOKUP($A128,'Plano de Contas'!#REF!,8,FALSE))</f>
        <v/>
      </c>
      <c r="P128" s="6" t="str">
        <f>IF(ISERROR(VLOOKUP($A128,'Plano de Contas'!#REF!,10,FALSE)),"",VLOOKUP($A128,'Plano de Contas'!#REF!,10,FALSE))</f>
        <v/>
      </c>
    </row>
    <row r="129" spans="1:16" x14ac:dyDescent="0.25">
      <c r="A129" s="50" t="s">
        <v>1458</v>
      </c>
      <c r="B129" s="50">
        <v>54</v>
      </c>
      <c r="C129" s="50" t="s">
        <v>253</v>
      </c>
      <c r="D129" s="51">
        <v>8686063.0999999996</v>
      </c>
      <c r="E129" s="50"/>
      <c r="F129" s="51">
        <v>98000000</v>
      </c>
      <c r="G129" s="50"/>
      <c r="H129" s="50">
        <v>0</v>
      </c>
      <c r="I129" s="50"/>
      <c r="J129" s="51">
        <v>106686063.09999999</v>
      </c>
      <c r="L129" s="1">
        <f t="shared" si="1"/>
        <v>106686063.09999999</v>
      </c>
      <c r="N129" s="6" t="str">
        <f>IF(ISERROR(VLOOKUP($A129,'Plano de Contas'!#REF!,8,FALSE)),"",VLOOKUP($A129,'Plano de Contas'!#REF!,8,FALSE))</f>
        <v/>
      </c>
      <c r="P129" s="6" t="str">
        <f>IF(ISERROR(VLOOKUP($A129,'Plano de Contas'!#REF!,10,FALSE)),"",VLOOKUP($A129,'Plano de Contas'!#REF!,10,FALSE))</f>
        <v/>
      </c>
    </row>
    <row r="130" spans="1:16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L130" s="1">
        <f t="shared" si="1"/>
        <v>0</v>
      </c>
      <c r="N130" s="6" t="str">
        <f>IF(ISERROR(VLOOKUP($A130,'Plano de Contas'!#REF!,8,FALSE)),"",VLOOKUP($A130,'Plano de Contas'!#REF!,8,FALSE))</f>
        <v/>
      </c>
      <c r="P130" s="6" t="str">
        <f>IF(ISERROR(VLOOKUP($A130,'Plano de Contas'!#REF!,10,FALSE)),"",VLOOKUP($A130,'Plano de Contas'!#REF!,10,FALSE))</f>
        <v/>
      </c>
    </row>
    <row r="131" spans="1:16" x14ac:dyDescent="0.25">
      <c r="A131" s="50" t="s">
        <v>1459</v>
      </c>
      <c r="B131" s="50">
        <v>55</v>
      </c>
      <c r="C131" s="50" t="s">
        <v>1460</v>
      </c>
      <c r="D131" s="51">
        <v>8686063.0999999996</v>
      </c>
      <c r="E131" s="50"/>
      <c r="F131" s="51">
        <v>98000000</v>
      </c>
      <c r="G131" s="50"/>
      <c r="H131" s="50">
        <v>0</v>
      </c>
      <c r="I131" s="50"/>
      <c r="J131" s="51">
        <v>106686063.09999999</v>
      </c>
      <c r="L131" s="1">
        <f t="shared" si="1"/>
        <v>106686063.09999999</v>
      </c>
      <c r="N131" s="6" t="str">
        <f>IF(ISERROR(VLOOKUP($A131,'Plano de Contas'!#REF!,8,FALSE)),"",VLOOKUP($A131,'Plano de Contas'!#REF!,8,FALSE))</f>
        <v/>
      </c>
      <c r="P131" s="6" t="str">
        <f>IF(ISERROR(VLOOKUP($A131,'Plano de Contas'!#REF!,10,FALSE)),"",VLOOKUP($A131,'Plano de Contas'!#REF!,10,FALSE))</f>
        <v/>
      </c>
    </row>
    <row r="132" spans="1:16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L132" s="1">
        <f t="shared" si="1"/>
        <v>0</v>
      </c>
      <c r="N132" s="6" t="str">
        <f>IF(ISERROR(VLOOKUP($A132,'Plano de Contas'!#REF!,8,FALSE)),"",VLOOKUP($A132,'Plano de Contas'!#REF!,8,FALSE))</f>
        <v/>
      </c>
      <c r="P132" s="6" t="str">
        <f>IF(ISERROR(VLOOKUP($A132,'Plano de Contas'!#REF!,10,FALSE)),"",VLOOKUP($A132,'Plano de Contas'!#REF!,10,FALSE))</f>
        <v/>
      </c>
    </row>
    <row r="133" spans="1:16" x14ac:dyDescent="0.25">
      <c r="A133" s="50" t="s">
        <v>1461</v>
      </c>
      <c r="B133" s="50">
        <v>58</v>
      </c>
      <c r="C133" s="50" t="s">
        <v>191</v>
      </c>
      <c r="D133" s="50">
        <v>0</v>
      </c>
      <c r="E133" s="50"/>
      <c r="F133" s="51">
        <v>98000000</v>
      </c>
      <c r="G133" s="50"/>
      <c r="H133" s="50">
        <v>0</v>
      </c>
      <c r="I133" s="50"/>
      <c r="J133" s="51">
        <v>98000000</v>
      </c>
      <c r="L133" s="1">
        <f t="shared" si="1"/>
        <v>98000000</v>
      </c>
      <c r="N133" s="6" t="str">
        <f>IF(ISERROR(VLOOKUP($A133,'Plano de Contas'!#REF!,8,FALSE)),"",VLOOKUP($A133,'Plano de Contas'!#REF!,8,FALSE))</f>
        <v/>
      </c>
      <c r="P133" s="6" t="str">
        <f>IF(ISERROR(VLOOKUP($A133,'Plano de Contas'!#REF!,10,FALSE)),"",VLOOKUP($A133,'Plano de Contas'!#REF!,10,FALSE))</f>
        <v/>
      </c>
    </row>
    <row r="134" spans="1:16" x14ac:dyDescent="0.25">
      <c r="A134" s="50" t="s">
        <v>1462</v>
      </c>
      <c r="B134" s="50">
        <v>928</v>
      </c>
      <c r="C134" s="50" t="s">
        <v>1463</v>
      </c>
      <c r="D134" s="50">
        <v>0</v>
      </c>
      <c r="E134" s="50"/>
      <c r="F134" s="51">
        <v>98000000</v>
      </c>
      <c r="G134" s="50"/>
      <c r="H134" s="50">
        <v>0</v>
      </c>
      <c r="I134" s="50"/>
      <c r="J134" s="51">
        <v>98000000</v>
      </c>
      <c r="L134" s="1">
        <f t="shared" si="1"/>
        <v>98000000</v>
      </c>
      <c r="N134" s="6" t="str">
        <f>IF(ISERROR(VLOOKUP($A134,'Plano de Contas'!#REF!,8,FALSE)),"",VLOOKUP($A134,'Plano de Contas'!#REF!,8,FALSE))</f>
        <v/>
      </c>
      <c r="P134" s="6" t="str">
        <f>IF(ISERROR(VLOOKUP($A134,'Plano de Contas'!#REF!,10,FALSE)),"",VLOOKUP($A134,'Plano de Contas'!#REF!,10,FALSE))</f>
        <v/>
      </c>
    </row>
    <row r="135" spans="1:16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L135" s="1">
        <f t="shared" si="1"/>
        <v>0</v>
      </c>
      <c r="N135" s="6" t="str">
        <f>IF(ISERROR(VLOOKUP($A135,'Plano de Contas'!#REF!,8,FALSE)),"",VLOOKUP($A135,'Plano de Contas'!#REF!,8,FALSE))</f>
        <v/>
      </c>
      <c r="P135" s="6" t="str">
        <f>IF(ISERROR(VLOOKUP($A135,'Plano de Contas'!#REF!,10,FALSE)),"",VLOOKUP($A135,'Plano de Contas'!#REF!,10,FALSE))</f>
        <v/>
      </c>
    </row>
    <row r="136" spans="1:16" x14ac:dyDescent="0.25">
      <c r="A136" s="50" t="s">
        <v>1464</v>
      </c>
      <c r="B136" s="50">
        <v>470</v>
      </c>
      <c r="C136" s="50" t="s">
        <v>1465</v>
      </c>
      <c r="D136" s="51">
        <v>8686063.0999999996</v>
      </c>
      <c r="E136" s="50"/>
      <c r="F136" s="50">
        <v>0</v>
      </c>
      <c r="G136" s="50"/>
      <c r="H136" s="50">
        <v>0</v>
      </c>
      <c r="I136" s="50"/>
      <c r="J136" s="51">
        <v>8686063.0999999996</v>
      </c>
      <c r="L136" s="1">
        <f t="shared" ref="L136:L199" si="2">IF(K136="-",-J136,J136)</f>
        <v>8686063.0999999996</v>
      </c>
      <c r="N136" s="6" t="str">
        <f>IF(ISERROR(VLOOKUP($A136,'Plano de Contas'!#REF!,8,FALSE)),"",VLOOKUP($A136,'Plano de Contas'!#REF!,8,FALSE))</f>
        <v/>
      </c>
      <c r="P136" s="6" t="str">
        <f>IF(ISERROR(VLOOKUP($A136,'Plano de Contas'!#REF!,10,FALSE)),"",VLOOKUP($A136,'Plano de Contas'!#REF!,10,FALSE))</f>
        <v/>
      </c>
    </row>
    <row r="137" spans="1:16" x14ac:dyDescent="0.25">
      <c r="A137" s="50" t="s">
        <v>1466</v>
      </c>
      <c r="B137" s="50">
        <v>471</v>
      </c>
      <c r="C137" s="50" t="s">
        <v>1467</v>
      </c>
      <c r="D137" s="51">
        <v>8686063.0999999996</v>
      </c>
      <c r="E137" s="50"/>
      <c r="F137" s="50">
        <v>0</v>
      </c>
      <c r="G137" s="50"/>
      <c r="H137" s="50">
        <v>0</v>
      </c>
      <c r="I137" s="50"/>
      <c r="J137" s="51">
        <v>8686063.0999999996</v>
      </c>
      <c r="L137" s="1">
        <f t="shared" si="2"/>
        <v>8686063.0999999996</v>
      </c>
      <c r="N137" s="6" t="str">
        <f>IF(ISERROR(VLOOKUP($A137,'Plano de Contas'!#REF!,8,FALSE)),"",VLOOKUP($A137,'Plano de Contas'!#REF!,8,FALSE))</f>
        <v/>
      </c>
      <c r="P137" s="6" t="str">
        <f>IF(ISERROR(VLOOKUP($A137,'Plano de Contas'!#REF!,10,FALSE)),"",VLOOKUP($A137,'Plano de Contas'!#REF!,10,FALSE))</f>
        <v/>
      </c>
    </row>
    <row r="138" spans="1:16" x14ac:dyDescent="0.25">
      <c r="L138" s="1">
        <f t="shared" si="2"/>
        <v>0</v>
      </c>
      <c r="N138" s="6" t="str">
        <f>IF(ISERROR(VLOOKUP($A138,'Plano de Contas'!#REF!,8,FALSE)),"",VLOOKUP($A138,'Plano de Contas'!#REF!,8,FALSE))</f>
        <v/>
      </c>
      <c r="P138" s="6" t="str">
        <f>IF(ISERROR(VLOOKUP($A138,'Plano de Contas'!#REF!,10,FALSE)),"",VLOOKUP($A138,'Plano de Contas'!#REF!,10,FALSE))</f>
        <v/>
      </c>
    </row>
    <row r="139" spans="1:16" x14ac:dyDescent="0.25">
      <c r="A139" t="s">
        <v>250</v>
      </c>
      <c r="B139">
        <v>71</v>
      </c>
      <c r="C139" t="s">
        <v>251</v>
      </c>
      <c r="D139" s="10">
        <v>2131615718.6099999</v>
      </c>
      <c r="F139" s="10">
        <v>183639567.34999999</v>
      </c>
      <c r="H139" s="10">
        <v>5513530.3499999996</v>
      </c>
      <c r="I139" t="s">
        <v>35</v>
      </c>
      <c r="J139" s="10">
        <v>2309741755.6100001</v>
      </c>
      <c r="L139" s="1">
        <f t="shared" si="2"/>
        <v>2309741755.6100001</v>
      </c>
      <c r="N139" s="6" t="str">
        <f>IF(ISERROR(VLOOKUP($A139,'Plano de Contas'!#REF!,8,FALSE)),"",VLOOKUP($A139,'Plano de Contas'!#REF!,8,FALSE))</f>
        <v/>
      </c>
      <c r="P139" s="6" t="str">
        <f>IF(ISERROR(VLOOKUP($A139,'Plano de Contas'!#REF!,10,FALSE)),"",VLOOKUP($A139,'Plano de Contas'!#REF!,10,FALSE))</f>
        <v/>
      </c>
    </row>
    <row r="140" spans="1:16" x14ac:dyDescent="0.25">
      <c r="L140" s="1">
        <f t="shared" si="2"/>
        <v>0</v>
      </c>
      <c r="N140" s="6" t="str">
        <f>IF(ISERROR(VLOOKUP($A140,'Plano de Contas'!#REF!,8,FALSE)),"",VLOOKUP($A140,'Plano de Contas'!#REF!,8,FALSE))</f>
        <v/>
      </c>
      <c r="P140" s="6" t="str">
        <f>IF(ISERROR(VLOOKUP($A140,'Plano de Contas'!#REF!,10,FALSE)),"",VLOOKUP($A140,'Plano de Contas'!#REF!,10,FALSE))</f>
        <v/>
      </c>
    </row>
    <row r="141" spans="1:16" x14ac:dyDescent="0.25">
      <c r="A141" t="s">
        <v>252</v>
      </c>
      <c r="B141">
        <v>837</v>
      </c>
      <c r="C141" t="s">
        <v>253</v>
      </c>
      <c r="D141" s="10">
        <v>9515299.5600000005</v>
      </c>
      <c r="F141">
        <v>175.23</v>
      </c>
      <c r="H141" s="10">
        <v>2227836.77</v>
      </c>
      <c r="I141" t="s">
        <v>35</v>
      </c>
      <c r="J141" s="10">
        <v>7287638.0199999996</v>
      </c>
      <c r="L141" s="1">
        <f t="shared" si="2"/>
        <v>7287638.0199999996</v>
      </c>
      <c r="N141" s="6" t="str">
        <f>IF(ISERROR(VLOOKUP($A141,'Plano de Contas'!#REF!,8,FALSE)),"",VLOOKUP($A141,'Plano de Contas'!#REF!,8,FALSE))</f>
        <v/>
      </c>
      <c r="P141" s="6" t="str">
        <f>IF(ISERROR(VLOOKUP($A141,'Plano de Contas'!#REF!,10,FALSE)),"",VLOOKUP($A141,'Plano de Contas'!#REF!,10,FALSE))</f>
        <v/>
      </c>
    </row>
    <row r="142" spans="1:16" x14ac:dyDescent="0.25">
      <c r="L142" s="1">
        <f t="shared" si="2"/>
        <v>0</v>
      </c>
      <c r="N142" s="6" t="str">
        <f>IF(ISERROR(VLOOKUP($A142,'Plano de Contas'!#REF!,8,FALSE)),"",VLOOKUP($A142,'Plano de Contas'!#REF!,8,FALSE))</f>
        <v/>
      </c>
      <c r="P142" s="6" t="str">
        <f>IF(ISERROR(VLOOKUP($A142,'Plano de Contas'!#REF!,10,FALSE)),"",VLOOKUP($A142,'Plano de Contas'!#REF!,10,FALSE))</f>
        <v/>
      </c>
    </row>
    <row r="143" spans="1:16" x14ac:dyDescent="0.25">
      <c r="A143" t="s">
        <v>254</v>
      </c>
      <c r="B143">
        <v>851</v>
      </c>
      <c r="C143" t="s">
        <v>255</v>
      </c>
      <c r="D143" s="10">
        <v>3542233.08</v>
      </c>
      <c r="F143">
        <v>175.23</v>
      </c>
      <c r="H143" s="10">
        <v>2227836.77</v>
      </c>
      <c r="I143" t="s">
        <v>35</v>
      </c>
      <c r="J143" s="10">
        <v>1314571.54</v>
      </c>
      <c r="L143" s="1">
        <f t="shared" si="2"/>
        <v>1314571.54</v>
      </c>
      <c r="N143" s="6" t="str">
        <f>IF(ISERROR(VLOOKUP($A143,'Plano de Contas'!#REF!,8,FALSE)),"",VLOOKUP($A143,'Plano de Contas'!#REF!,8,FALSE))</f>
        <v/>
      </c>
      <c r="P143" s="6" t="str">
        <f>IF(ISERROR(VLOOKUP($A143,'Plano de Contas'!#REF!,10,FALSE)),"",VLOOKUP($A143,'Plano de Contas'!#REF!,10,FALSE))</f>
        <v/>
      </c>
    </row>
    <row r="144" spans="1:16" x14ac:dyDescent="0.25">
      <c r="A144" t="s">
        <v>256</v>
      </c>
      <c r="B144">
        <v>852</v>
      </c>
      <c r="C144" t="s">
        <v>257</v>
      </c>
      <c r="D144" s="10">
        <v>22344.3</v>
      </c>
      <c r="F144">
        <v>175.23</v>
      </c>
      <c r="H144">
        <v>628.73</v>
      </c>
      <c r="I144" t="s">
        <v>35</v>
      </c>
      <c r="J144" s="10">
        <v>21890.799999999999</v>
      </c>
      <c r="L144" s="1">
        <f t="shared" si="2"/>
        <v>21890.799999999999</v>
      </c>
      <c r="N144" s="6" t="str">
        <f>IF(ISERROR(VLOOKUP($A144,'Plano de Contas'!#REF!,8,FALSE)),"",VLOOKUP($A144,'Plano de Contas'!#REF!,8,FALSE))</f>
        <v/>
      </c>
      <c r="P144" s="6" t="str">
        <f>IF(ISERROR(VLOOKUP($A144,'Plano de Contas'!#REF!,10,FALSE)),"",VLOOKUP($A144,'Plano de Contas'!#REF!,10,FALSE))</f>
        <v/>
      </c>
    </row>
    <row r="145" spans="1:16" x14ac:dyDescent="0.25">
      <c r="A145" t="s">
        <v>258</v>
      </c>
      <c r="B145">
        <v>853</v>
      </c>
      <c r="C145" t="s">
        <v>259</v>
      </c>
      <c r="D145" s="10">
        <v>179076.71</v>
      </c>
      <c r="F145">
        <v>0</v>
      </c>
      <c r="H145">
        <v>0</v>
      </c>
      <c r="J145" s="10">
        <v>179076.71</v>
      </c>
      <c r="L145" s="1">
        <f t="shared" si="2"/>
        <v>179076.71</v>
      </c>
      <c r="N145" s="6" t="str">
        <f>IF(ISERROR(VLOOKUP($A145,'Plano de Contas'!#REF!,8,FALSE)),"",VLOOKUP($A145,'Plano de Contas'!#REF!,8,FALSE))</f>
        <v/>
      </c>
      <c r="P145" s="6" t="str">
        <f>IF(ISERROR(VLOOKUP($A145,'Plano de Contas'!#REF!,10,FALSE)),"",VLOOKUP($A145,'Plano de Contas'!#REF!,10,FALSE))</f>
        <v/>
      </c>
    </row>
    <row r="146" spans="1:16" x14ac:dyDescent="0.25">
      <c r="A146" t="s">
        <v>1468</v>
      </c>
      <c r="B146">
        <v>910</v>
      </c>
      <c r="C146" t="s">
        <v>1469</v>
      </c>
      <c r="D146" s="10">
        <v>3340812.07</v>
      </c>
      <c r="F146">
        <v>0</v>
      </c>
      <c r="H146" s="10">
        <v>2227208.04</v>
      </c>
      <c r="I146" t="s">
        <v>35</v>
      </c>
      <c r="J146" s="10">
        <v>1113604.03</v>
      </c>
      <c r="L146" s="1">
        <f t="shared" si="2"/>
        <v>1113604.03</v>
      </c>
      <c r="N146" s="6" t="str">
        <f>IF(ISERROR(VLOOKUP($A146,'Plano de Contas'!#REF!,8,FALSE)),"",VLOOKUP($A146,'Plano de Contas'!#REF!,8,FALSE))</f>
        <v/>
      </c>
      <c r="P146" s="6" t="str">
        <f>IF(ISERROR(VLOOKUP($A146,'Plano de Contas'!#REF!,10,FALSE)),"",VLOOKUP($A146,'Plano de Contas'!#REF!,10,FALSE))</f>
        <v/>
      </c>
    </row>
    <row r="147" spans="1:16" x14ac:dyDescent="0.25">
      <c r="L147" s="1">
        <f t="shared" si="2"/>
        <v>0</v>
      </c>
      <c r="N147" s="6" t="str">
        <f>IF(ISERROR(VLOOKUP($A147,'Plano de Contas'!#REF!,8,FALSE)),"",VLOOKUP($A147,'Plano de Contas'!#REF!,8,FALSE))</f>
        <v/>
      </c>
      <c r="P147" s="6" t="str">
        <f>IF(ISERROR(VLOOKUP($A147,'Plano de Contas'!#REF!,10,FALSE)),"",VLOOKUP($A147,'Plano de Contas'!#REF!,10,FALSE))</f>
        <v/>
      </c>
    </row>
    <row r="148" spans="1:16" x14ac:dyDescent="0.25">
      <c r="A148" t="s">
        <v>262</v>
      </c>
      <c r="B148">
        <v>854</v>
      </c>
      <c r="C148" t="s">
        <v>263</v>
      </c>
      <c r="D148" s="10">
        <v>1813.75</v>
      </c>
      <c r="F148">
        <v>0</v>
      </c>
      <c r="H148">
        <v>0</v>
      </c>
      <c r="J148" s="10">
        <v>1813.75</v>
      </c>
      <c r="L148" s="1">
        <f t="shared" si="2"/>
        <v>1813.75</v>
      </c>
      <c r="N148" s="6" t="str">
        <f>IF(ISERROR(VLOOKUP($A148,'Plano de Contas'!#REF!,8,FALSE)),"",VLOOKUP($A148,'Plano de Contas'!#REF!,8,FALSE))</f>
        <v/>
      </c>
      <c r="P148" s="6" t="str">
        <f>IF(ISERROR(VLOOKUP($A148,'Plano de Contas'!#REF!,10,FALSE)),"",VLOOKUP($A148,'Plano de Contas'!#REF!,10,FALSE))</f>
        <v/>
      </c>
    </row>
    <row r="149" spans="1:16" x14ac:dyDescent="0.25">
      <c r="A149" t="s">
        <v>264</v>
      </c>
      <c r="B149">
        <v>855</v>
      </c>
      <c r="C149" t="s">
        <v>265</v>
      </c>
      <c r="D149" s="10">
        <v>1533.94</v>
      </c>
      <c r="F149">
        <v>0</v>
      </c>
      <c r="H149">
        <v>0</v>
      </c>
      <c r="J149" s="10">
        <v>1533.94</v>
      </c>
      <c r="L149" s="1">
        <f t="shared" si="2"/>
        <v>1533.94</v>
      </c>
      <c r="N149" s="6" t="str">
        <f>IF(ISERROR(VLOOKUP($A149,'Plano de Contas'!#REF!,8,FALSE)),"",VLOOKUP($A149,'Plano de Contas'!#REF!,8,FALSE))</f>
        <v/>
      </c>
      <c r="P149" s="6" t="str">
        <f>IF(ISERROR(VLOOKUP($A149,'Plano de Contas'!#REF!,10,FALSE)),"",VLOOKUP($A149,'Plano de Contas'!#REF!,10,FALSE))</f>
        <v/>
      </c>
    </row>
    <row r="150" spans="1:16" x14ac:dyDescent="0.25">
      <c r="A150" t="s">
        <v>266</v>
      </c>
      <c r="B150">
        <v>856</v>
      </c>
      <c r="C150" t="s">
        <v>265</v>
      </c>
      <c r="D150">
        <v>279.81</v>
      </c>
      <c r="F150">
        <v>0</v>
      </c>
      <c r="H150">
        <v>0</v>
      </c>
      <c r="J150">
        <v>279.81</v>
      </c>
      <c r="L150" s="1">
        <f t="shared" si="2"/>
        <v>279.81</v>
      </c>
      <c r="N150" s="6" t="str">
        <f>IF(ISERROR(VLOOKUP($A150,'Plano de Contas'!#REF!,8,FALSE)),"",VLOOKUP($A150,'Plano de Contas'!#REF!,8,FALSE))</f>
        <v/>
      </c>
      <c r="P150" s="6" t="str">
        <f>IF(ISERROR(VLOOKUP($A150,'Plano de Contas'!#REF!,10,FALSE)),"",VLOOKUP($A150,'Plano de Contas'!#REF!,10,FALSE))</f>
        <v/>
      </c>
    </row>
    <row r="151" spans="1:16" x14ac:dyDescent="0.25">
      <c r="L151" s="1">
        <f t="shared" si="2"/>
        <v>0</v>
      </c>
      <c r="N151" s="6" t="str">
        <f>IF(ISERROR(VLOOKUP($A151,'Plano de Contas'!#REF!,8,FALSE)),"",VLOOKUP($A151,'Plano de Contas'!#REF!,8,FALSE))</f>
        <v/>
      </c>
      <c r="P151" s="6" t="str">
        <f>IF(ISERROR(VLOOKUP($A151,'Plano de Contas'!#REF!,10,FALSE)),"",VLOOKUP($A151,'Plano de Contas'!#REF!,10,FALSE))</f>
        <v/>
      </c>
    </row>
    <row r="152" spans="1:16" x14ac:dyDescent="0.25">
      <c r="A152" t="s">
        <v>267</v>
      </c>
      <c r="B152">
        <v>857</v>
      </c>
      <c r="C152" t="s">
        <v>268</v>
      </c>
      <c r="D152" s="10">
        <v>5961405.2300000004</v>
      </c>
      <c r="F152">
        <v>0</v>
      </c>
      <c r="H152">
        <v>0</v>
      </c>
      <c r="J152" s="10">
        <v>5961405.2300000004</v>
      </c>
      <c r="L152" s="1">
        <f t="shared" si="2"/>
        <v>5961405.2300000004</v>
      </c>
      <c r="N152" s="6" t="str">
        <f>IF(ISERROR(VLOOKUP($A152,'Plano de Contas'!#REF!,8,FALSE)),"",VLOOKUP($A152,'Plano de Contas'!#REF!,8,FALSE))</f>
        <v/>
      </c>
      <c r="P152" s="6" t="str">
        <f>IF(ISERROR(VLOOKUP($A152,'Plano de Contas'!#REF!,10,FALSE)),"",VLOOKUP($A152,'Plano de Contas'!#REF!,10,FALSE))</f>
        <v/>
      </c>
    </row>
    <row r="153" spans="1:16" x14ac:dyDescent="0.25">
      <c r="A153" t="s">
        <v>269</v>
      </c>
      <c r="B153">
        <v>858</v>
      </c>
      <c r="C153" t="s">
        <v>270</v>
      </c>
      <c r="D153" s="10">
        <v>4998107.33</v>
      </c>
      <c r="F153">
        <v>0</v>
      </c>
      <c r="H153">
        <v>0</v>
      </c>
      <c r="J153" s="10">
        <v>4998107.33</v>
      </c>
      <c r="L153" s="1">
        <f t="shared" si="2"/>
        <v>4998107.33</v>
      </c>
      <c r="N153" s="6" t="str">
        <f>IF(ISERROR(VLOOKUP($A153,'Plano de Contas'!#REF!,8,FALSE)),"",VLOOKUP($A153,'Plano de Contas'!#REF!,8,FALSE))</f>
        <v/>
      </c>
      <c r="P153" s="6" t="str">
        <f>IF(ISERROR(VLOOKUP($A153,'Plano de Contas'!#REF!,10,FALSE)),"",VLOOKUP($A153,'Plano de Contas'!#REF!,10,FALSE))</f>
        <v/>
      </c>
    </row>
    <row r="154" spans="1:16" x14ac:dyDescent="0.25">
      <c r="A154" t="s">
        <v>271</v>
      </c>
      <c r="B154">
        <v>859</v>
      </c>
      <c r="C154" t="s">
        <v>272</v>
      </c>
      <c r="D154" s="10">
        <v>963297.9</v>
      </c>
      <c r="F154">
        <v>0</v>
      </c>
      <c r="H154">
        <v>0</v>
      </c>
      <c r="J154" s="10">
        <v>963297.9</v>
      </c>
      <c r="L154" s="1">
        <f t="shared" si="2"/>
        <v>963297.9</v>
      </c>
      <c r="N154" s="6" t="str">
        <f>IF(ISERROR(VLOOKUP($A154,'Plano de Contas'!#REF!,8,FALSE)),"",VLOOKUP($A154,'Plano de Contas'!#REF!,8,FALSE))</f>
        <v/>
      </c>
      <c r="P154" s="6" t="str">
        <f>IF(ISERROR(VLOOKUP($A154,'Plano de Contas'!#REF!,10,FALSE)),"",VLOOKUP($A154,'Plano de Contas'!#REF!,10,FALSE))</f>
        <v/>
      </c>
    </row>
    <row r="155" spans="1:16" x14ac:dyDescent="0.25">
      <c r="L155" s="1">
        <f t="shared" si="2"/>
        <v>0</v>
      </c>
      <c r="N155" s="6" t="str">
        <f>IF(ISERROR(VLOOKUP($A155,'Plano de Contas'!#REF!,8,FALSE)),"",VLOOKUP($A155,'Plano de Contas'!#REF!,8,FALSE))</f>
        <v/>
      </c>
      <c r="P155" s="6" t="str">
        <f>IF(ISERROR(VLOOKUP($A155,'Plano de Contas'!#REF!,10,FALSE)),"",VLOOKUP($A155,'Plano de Contas'!#REF!,10,FALSE))</f>
        <v/>
      </c>
    </row>
    <row r="156" spans="1:16" x14ac:dyDescent="0.25">
      <c r="A156" t="s">
        <v>273</v>
      </c>
      <c r="B156">
        <v>860</v>
      </c>
      <c r="C156" t="s">
        <v>274</v>
      </c>
      <c r="D156" s="10">
        <v>9433.5</v>
      </c>
      <c r="F156">
        <v>0</v>
      </c>
      <c r="H156">
        <v>0</v>
      </c>
      <c r="J156" s="10">
        <v>9433.5</v>
      </c>
      <c r="L156" s="1">
        <f t="shared" si="2"/>
        <v>9433.5</v>
      </c>
      <c r="N156" s="6" t="str">
        <f>IF(ISERROR(VLOOKUP($A156,'Plano de Contas'!#REF!,8,FALSE)),"",VLOOKUP($A156,'Plano de Contas'!#REF!,8,FALSE))</f>
        <v/>
      </c>
      <c r="P156" s="6" t="str">
        <f>IF(ISERROR(VLOOKUP($A156,'Plano de Contas'!#REF!,10,FALSE)),"",VLOOKUP($A156,'Plano de Contas'!#REF!,10,FALSE))</f>
        <v/>
      </c>
    </row>
    <row r="157" spans="1:16" x14ac:dyDescent="0.25">
      <c r="A157" t="s">
        <v>275</v>
      </c>
      <c r="B157">
        <v>861</v>
      </c>
      <c r="C157" t="s">
        <v>276</v>
      </c>
      <c r="D157" s="10">
        <v>9433.5</v>
      </c>
      <c r="F157">
        <v>0</v>
      </c>
      <c r="H157">
        <v>0</v>
      </c>
      <c r="J157" s="10">
        <v>9433.5</v>
      </c>
      <c r="L157" s="1">
        <f t="shared" si="2"/>
        <v>9433.5</v>
      </c>
      <c r="N157" s="6" t="str">
        <f>IF(ISERROR(VLOOKUP($A157,'Plano de Contas'!#REF!,8,FALSE)),"",VLOOKUP($A157,'Plano de Contas'!#REF!,8,FALSE))</f>
        <v/>
      </c>
      <c r="P157" s="6" t="str">
        <f>IF(ISERROR(VLOOKUP($A157,'Plano de Contas'!#REF!,10,FALSE)),"",VLOOKUP($A157,'Plano de Contas'!#REF!,10,FALSE))</f>
        <v/>
      </c>
    </row>
    <row r="158" spans="1:16" x14ac:dyDescent="0.25">
      <c r="L158" s="1">
        <f t="shared" si="2"/>
        <v>0</v>
      </c>
      <c r="N158" s="6" t="str">
        <f>IF(ISERROR(VLOOKUP($A158,'Plano de Contas'!#REF!,8,FALSE)),"",VLOOKUP($A158,'Plano de Contas'!#REF!,8,FALSE))</f>
        <v/>
      </c>
      <c r="P158" s="6" t="str">
        <f>IF(ISERROR(VLOOKUP($A158,'Plano de Contas'!#REF!,10,FALSE)),"",VLOOKUP($A158,'Plano de Contas'!#REF!,10,FALSE))</f>
        <v/>
      </c>
    </row>
    <row r="159" spans="1:16" x14ac:dyDescent="0.25">
      <c r="A159" t="s">
        <v>277</v>
      </c>
      <c r="B159">
        <v>863</v>
      </c>
      <c r="C159" t="s">
        <v>278</v>
      </c>
      <c r="D159">
        <v>414</v>
      </c>
      <c r="F159">
        <v>0</v>
      </c>
      <c r="H159">
        <v>0</v>
      </c>
      <c r="J159">
        <v>414</v>
      </c>
      <c r="L159" s="1">
        <f t="shared" si="2"/>
        <v>414</v>
      </c>
      <c r="N159" s="6" t="str">
        <f>IF(ISERROR(VLOOKUP($A159,'Plano de Contas'!#REF!,8,FALSE)),"",VLOOKUP($A159,'Plano de Contas'!#REF!,8,FALSE))</f>
        <v/>
      </c>
      <c r="P159" s="6" t="str">
        <f>IF(ISERROR(VLOOKUP($A159,'Plano de Contas'!#REF!,10,FALSE)),"",VLOOKUP($A159,'Plano de Contas'!#REF!,10,FALSE))</f>
        <v/>
      </c>
    </row>
    <row r="160" spans="1:16" x14ac:dyDescent="0.25">
      <c r="A160" t="s">
        <v>279</v>
      </c>
      <c r="B160">
        <v>864</v>
      </c>
      <c r="C160" t="s">
        <v>280</v>
      </c>
      <c r="D160">
        <v>414</v>
      </c>
      <c r="F160">
        <v>0</v>
      </c>
      <c r="H160">
        <v>0</v>
      </c>
      <c r="J160">
        <v>414</v>
      </c>
      <c r="L160" s="1">
        <f t="shared" si="2"/>
        <v>414</v>
      </c>
      <c r="N160" s="6" t="str">
        <f>IF(ISERROR(VLOOKUP($A160,'Plano de Contas'!#REF!,8,FALSE)),"",VLOOKUP($A160,'Plano de Contas'!#REF!,8,FALSE))</f>
        <v/>
      </c>
      <c r="P160" s="6" t="str">
        <f>IF(ISERROR(VLOOKUP($A160,'Plano de Contas'!#REF!,10,FALSE)),"",VLOOKUP($A160,'Plano de Contas'!#REF!,10,FALSE))</f>
        <v/>
      </c>
    </row>
    <row r="161" spans="1:16" x14ac:dyDescent="0.25">
      <c r="L161" s="1">
        <f t="shared" si="2"/>
        <v>0</v>
      </c>
      <c r="N161" s="6" t="str">
        <f>IF(ISERROR(VLOOKUP($A161,'Plano de Contas'!#REF!,8,FALSE)),"",VLOOKUP($A161,'Plano de Contas'!#REF!,8,FALSE))</f>
        <v/>
      </c>
      <c r="P161" s="6" t="str">
        <f>IF(ISERROR(VLOOKUP($A161,'Plano de Contas'!#REF!,10,FALSE)),"",VLOOKUP($A161,'Plano de Contas'!#REF!,10,FALSE))</f>
        <v/>
      </c>
    </row>
    <row r="162" spans="1:16" x14ac:dyDescent="0.25">
      <c r="A162" t="s">
        <v>281</v>
      </c>
      <c r="B162">
        <v>72</v>
      </c>
      <c r="C162" t="s">
        <v>282</v>
      </c>
      <c r="D162" s="10">
        <v>37574.050000000003</v>
      </c>
      <c r="F162">
        <v>0</v>
      </c>
      <c r="H162">
        <v>0</v>
      </c>
      <c r="J162" s="10">
        <v>37574.050000000003</v>
      </c>
      <c r="L162" s="1">
        <f t="shared" si="2"/>
        <v>37574.050000000003</v>
      </c>
      <c r="N162" s="6" t="str">
        <f>IF(ISERROR(VLOOKUP($A162,'Plano de Contas'!#REF!,8,FALSE)),"",VLOOKUP($A162,'Plano de Contas'!#REF!,8,FALSE))</f>
        <v/>
      </c>
      <c r="P162" s="6" t="str">
        <f>IF(ISERROR(VLOOKUP($A162,'Plano de Contas'!#REF!,10,FALSE)),"",VLOOKUP($A162,'Plano de Contas'!#REF!,10,FALSE))</f>
        <v/>
      </c>
    </row>
    <row r="163" spans="1:16" x14ac:dyDescent="0.25">
      <c r="L163" s="1">
        <f t="shared" si="2"/>
        <v>0</v>
      </c>
      <c r="N163" s="6" t="str">
        <f>IF(ISERROR(VLOOKUP($A163,'Plano de Contas'!#REF!,8,FALSE)),"",VLOOKUP($A163,'Plano de Contas'!#REF!,8,FALSE))</f>
        <v/>
      </c>
      <c r="P163" s="6" t="str">
        <f>IF(ISERROR(VLOOKUP($A163,'Plano de Contas'!#REF!,10,FALSE)),"",VLOOKUP($A163,'Plano de Contas'!#REF!,10,FALSE))</f>
        <v/>
      </c>
    </row>
    <row r="164" spans="1:16" x14ac:dyDescent="0.25">
      <c r="A164" t="s">
        <v>283</v>
      </c>
      <c r="B164">
        <v>73</v>
      </c>
      <c r="C164" t="s">
        <v>284</v>
      </c>
      <c r="D164" s="10">
        <v>36414.07</v>
      </c>
      <c r="F164">
        <v>0</v>
      </c>
      <c r="H164">
        <v>0</v>
      </c>
      <c r="J164" s="10">
        <v>36414.07</v>
      </c>
      <c r="L164" s="1">
        <f t="shared" si="2"/>
        <v>36414.07</v>
      </c>
      <c r="N164" s="6" t="str">
        <f>IF(ISERROR(VLOOKUP($A164,'Plano de Contas'!#REF!,8,FALSE)),"",VLOOKUP($A164,'Plano de Contas'!#REF!,8,FALSE))</f>
        <v/>
      </c>
      <c r="P164" s="6" t="str">
        <f>IF(ISERROR(VLOOKUP($A164,'Plano de Contas'!#REF!,10,FALSE)),"",VLOOKUP($A164,'Plano de Contas'!#REF!,10,FALSE))</f>
        <v/>
      </c>
    </row>
    <row r="165" spans="1:16" x14ac:dyDescent="0.25">
      <c r="A165" t="s">
        <v>285</v>
      </c>
      <c r="B165">
        <v>74</v>
      </c>
      <c r="C165" t="s">
        <v>286</v>
      </c>
      <c r="D165" s="10">
        <v>18164.060000000001</v>
      </c>
      <c r="F165">
        <v>0</v>
      </c>
      <c r="H165">
        <v>0</v>
      </c>
      <c r="J165" s="10">
        <v>18164.060000000001</v>
      </c>
      <c r="L165" s="1">
        <f t="shared" si="2"/>
        <v>18164.060000000001</v>
      </c>
      <c r="N165" s="6" t="str">
        <f>IF(ISERROR(VLOOKUP($A165,'Plano de Contas'!#REF!,8,FALSE)),"",VLOOKUP($A165,'Plano de Contas'!#REF!,8,FALSE))</f>
        <v/>
      </c>
      <c r="P165" s="6" t="str">
        <f>IF(ISERROR(VLOOKUP($A165,'Plano de Contas'!#REF!,10,FALSE)),"",VLOOKUP($A165,'Plano de Contas'!#REF!,10,FALSE))</f>
        <v/>
      </c>
    </row>
    <row r="166" spans="1:16" x14ac:dyDescent="0.25">
      <c r="A166" t="s">
        <v>287</v>
      </c>
      <c r="B166">
        <v>75</v>
      </c>
      <c r="C166" t="s">
        <v>288</v>
      </c>
      <c r="D166" s="10">
        <v>18250.009999999998</v>
      </c>
      <c r="F166">
        <v>0</v>
      </c>
      <c r="H166">
        <v>0</v>
      </c>
      <c r="J166" s="10">
        <v>18250.009999999998</v>
      </c>
      <c r="L166" s="1">
        <f t="shared" si="2"/>
        <v>18250.009999999998</v>
      </c>
      <c r="N166" s="6" t="str">
        <f>IF(ISERROR(VLOOKUP($A166,'Plano de Contas'!#REF!,8,FALSE)),"",VLOOKUP($A166,'Plano de Contas'!#REF!,8,FALSE))</f>
        <v/>
      </c>
      <c r="P166" s="6" t="str">
        <f>IF(ISERROR(VLOOKUP($A166,'Plano de Contas'!#REF!,10,FALSE)),"",VLOOKUP($A166,'Plano de Contas'!#REF!,10,FALSE))</f>
        <v/>
      </c>
    </row>
    <row r="167" spans="1:16" x14ac:dyDescent="0.25">
      <c r="L167" s="1">
        <f t="shared" si="2"/>
        <v>0</v>
      </c>
      <c r="N167" s="6" t="str">
        <f>IF(ISERROR(VLOOKUP($A167,'Plano de Contas'!#REF!,8,FALSE)),"",VLOOKUP($A167,'Plano de Contas'!#REF!,8,FALSE))</f>
        <v/>
      </c>
      <c r="P167" s="6" t="str">
        <f>IF(ISERROR(VLOOKUP($A167,'Plano de Contas'!#REF!,10,FALSE)),"",VLOOKUP($A167,'Plano de Contas'!#REF!,10,FALSE))</f>
        <v/>
      </c>
    </row>
    <row r="168" spans="1:16" x14ac:dyDescent="0.25">
      <c r="A168" t="s">
        <v>289</v>
      </c>
      <c r="B168">
        <v>76</v>
      </c>
      <c r="C168" t="s">
        <v>290</v>
      </c>
      <c r="D168" s="10">
        <v>3216838.38</v>
      </c>
      <c r="F168">
        <v>0</v>
      </c>
      <c r="H168">
        <v>0</v>
      </c>
      <c r="J168" s="10">
        <v>3216838.38</v>
      </c>
      <c r="L168" s="1">
        <f t="shared" si="2"/>
        <v>3216838.38</v>
      </c>
      <c r="N168" s="6" t="str">
        <f>IF(ISERROR(VLOOKUP($A168,'Plano de Contas'!#REF!,8,FALSE)),"",VLOOKUP($A168,'Plano de Contas'!#REF!,8,FALSE))</f>
        <v/>
      </c>
      <c r="P168" s="6" t="str">
        <f>IF(ISERROR(VLOOKUP($A168,'Plano de Contas'!#REF!,10,FALSE)),"",VLOOKUP($A168,'Plano de Contas'!#REF!,10,FALSE))</f>
        <v/>
      </c>
    </row>
    <row r="169" spans="1:16" x14ac:dyDescent="0.25">
      <c r="A169" t="s">
        <v>291</v>
      </c>
      <c r="B169">
        <v>77</v>
      </c>
      <c r="C169" t="s">
        <v>292</v>
      </c>
      <c r="D169" s="10">
        <v>3216418.22</v>
      </c>
      <c r="F169">
        <v>0</v>
      </c>
      <c r="H169">
        <v>0</v>
      </c>
      <c r="J169" s="10">
        <v>3216418.22</v>
      </c>
      <c r="L169" s="1">
        <f t="shared" si="2"/>
        <v>3216418.22</v>
      </c>
      <c r="N169" s="6" t="str">
        <f>IF(ISERROR(VLOOKUP($A169,'Plano de Contas'!#REF!,8,FALSE)),"",VLOOKUP($A169,'Plano de Contas'!#REF!,8,FALSE))</f>
        <v/>
      </c>
      <c r="P169" s="6" t="str">
        <f>IF(ISERROR(VLOOKUP($A169,'Plano de Contas'!#REF!,10,FALSE)),"",VLOOKUP($A169,'Plano de Contas'!#REF!,10,FALSE))</f>
        <v/>
      </c>
    </row>
    <row r="170" spans="1:16" x14ac:dyDescent="0.25">
      <c r="A170" t="s">
        <v>293</v>
      </c>
      <c r="B170">
        <v>78</v>
      </c>
      <c r="C170" t="s">
        <v>294</v>
      </c>
      <c r="D170">
        <v>420.16</v>
      </c>
      <c r="F170">
        <v>0</v>
      </c>
      <c r="H170">
        <v>0</v>
      </c>
      <c r="J170">
        <v>420.16</v>
      </c>
      <c r="L170" s="1">
        <f t="shared" si="2"/>
        <v>420.16</v>
      </c>
      <c r="N170" s="6" t="str">
        <f>IF(ISERROR(VLOOKUP($A170,'Plano de Contas'!#REF!,8,FALSE)),"",VLOOKUP($A170,'Plano de Contas'!#REF!,8,FALSE))</f>
        <v/>
      </c>
      <c r="P170" s="6" t="str">
        <f>IF(ISERROR(VLOOKUP($A170,'Plano de Contas'!#REF!,10,FALSE)),"",VLOOKUP($A170,'Plano de Contas'!#REF!,10,FALSE))</f>
        <v/>
      </c>
    </row>
    <row r="171" spans="1:16" x14ac:dyDescent="0.25">
      <c r="L171" s="1">
        <f t="shared" si="2"/>
        <v>0</v>
      </c>
      <c r="N171" s="6" t="str">
        <f>IF(ISERROR(VLOOKUP($A171,'Plano de Contas'!#REF!,8,FALSE)),"",VLOOKUP($A171,'Plano de Contas'!#REF!,8,FALSE))</f>
        <v/>
      </c>
      <c r="P171" s="6" t="str">
        <f>IF(ISERROR(VLOOKUP($A171,'Plano de Contas'!#REF!,10,FALSE)),"",VLOOKUP($A171,'Plano de Contas'!#REF!,10,FALSE))</f>
        <v/>
      </c>
    </row>
    <row r="172" spans="1:16" x14ac:dyDescent="0.25">
      <c r="A172" t="s">
        <v>295</v>
      </c>
      <c r="B172">
        <v>456</v>
      </c>
      <c r="C172" t="s">
        <v>296</v>
      </c>
      <c r="D172" s="10">
        <v>3215678.4</v>
      </c>
      <c r="E172" t="s">
        <v>35</v>
      </c>
      <c r="F172">
        <v>0</v>
      </c>
      <c r="H172">
        <v>0</v>
      </c>
      <c r="J172" s="10">
        <v>3215678.4</v>
      </c>
      <c r="K172" t="s">
        <v>35</v>
      </c>
      <c r="L172" s="1">
        <f t="shared" si="2"/>
        <v>-3215678.4</v>
      </c>
      <c r="N172" s="6" t="str">
        <f>IF(ISERROR(VLOOKUP($A172,'Plano de Contas'!#REF!,8,FALSE)),"",VLOOKUP($A172,'Plano de Contas'!#REF!,8,FALSE))</f>
        <v/>
      </c>
      <c r="P172" s="6" t="str">
        <f>IF(ISERROR(VLOOKUP($A172,'Plano de Contas'!#REF!,10,FALSE)),"",VLOOKUP($A172,'Plano de Contas'!#REF!,10,FALSE))</f>
        <v/>
      </c>
    </row>
    <row r="173" spans="1:16" x14ac:dyDescent="0.25">
      <c r="A173" t="s">
        <v>297</v>
      </c>
      <c r="B173">
        <v>457</v>
      </c>
      <c r="C173" t="s">
        <v>298</v>
      </c>
      <c r="D173" s="10">
        <v>3215678.4</v>
      </c>
      <c r="E173" t="s">
        <v>35</v>
      </c>
      <c r="F173">
        <v>0</v>
      </c>
      <c r="H173">
        <v>0</v>
      </c>
      <c r="J173" s="10">
        <v>3215678.4</v>
      </c>
      <c r="K173" t="s">
        <v>35</v>
      </c>
      <c r="L173" s="1">
        <f t="shared" si="2"/>
        <v>-3215678.4</v>
      </c>
      <c r="N173" s="6" t="str">
        <f>IF(ISERROR(VLOOKUP($A173,'Plano de Contas'!#REF!,8,FALSE)),"",VLOOKUP($A173,'Plano de Contas'!#REF!,8,FALSE))</f>
        <v/>
      </c>
      <c r="P173" s="6" t="str">
        <f>IF(ISERROR(VLOOKUP($A173,'Plano de Contas'!#REF!,10,FALSE)),"",VLOOKUP($A173,'Plano de Contas'!#REF!,10,FALSE))</f>
        <v/>
      </c>
    </row>
    <row r="174" spans="1:16" x14ac:dyDescent="0.25">
      <c r="L174" s="1">
        <f t="shared" si="2"/>
        <v>0</v>
      </c>
      <c r="N174" s="6" t="str">
        <f>IF(ISERROR(VLOOKUP($A174,'Plano de Contas'!#REF!,8,FALSE)),"",VLOOKUP($A174,'Plano de Contas'!#REF!,8,FALSE))</f>
        <v/>
      </c>
      <c r="P174" s="6" t="str">
        <f>IF(ISERROR(VLOOKUP($A174,'Plano de Contas'!#REF!,10,FALSE)),"",VLOOKUP($A174,'Plano de Contas'!#REF!,10,FALSE))</f>
        <v/>
      </c>
    </row>
    <row r="175" spans="1:16" x14ac:dyDescent="0.25">
      <c r="A175" t="s">
        <v>299</v>
      </c>
      <c r="B175">
        <v>79</v>
      </c>
      <c r="C175" t="s">
        <v>300</v>
      </c>
      <c r="D175" s="10">
        <v>2095468656.48</v>
      </c>
      <c r="F175" s="10">
        <v>183639392.12</v>
      </c>
      <c r="H175" s="10">
        <v>3222523.24</v>
      </c>
      <c r="I175" t="s">
        <v>35</v>
      </c>
      <c r="J175" s="10">
        <v>2275885525.3600001</v>
      </c>
      <c r="L175" s="1">
        <f t="shared" si="2"/>
        <v>2275885525.3600001</v>
      </c>
      <c r="N175" s="6" t="str">
        <f>IF(ISERROR(VLOOKUP($A175,'Plano de Contas'!#REF!,8,FALSE)),"",VLOOKUP($A175,'Plano de Contas'!#REF!,8,FALSE))</f>
        <v/>
      </c>
      <c r="P175" s="6" t="str">
        <f>IF(ISERROR(VLOOKUP($A175,'Plano de Contas'!#REF!,10,FALSE)),"",VLOOKUP($A175,'Plano de Contas'!#REF!,10,FALSE))</f>
        <v/>
      </c>
    </row>
    <row r="176" spans="1:16" x14ac:dyDescent="0.25">
      <c r="L176" s="1">
        <f t="shared" si="2"/>
        <v>0</v>
      </c>
      <c r="N176" s="6" t="str">
        <f>IF(ISERROR(VLOOKUP($A176,'Plano de Contas'!#REF!,8,FALSE)),"",VLOOKUP($A176,'Plano de Contas'!#REF!,8,FALSE))</f>
        <v/>
      </c>
      <c r="P176" s="6" t="str">
        <f>IF(ISERROR(VLOOKUP($A176,'Plano de Contas'!#REF!,10,FALSE)),"",VLOOKUP($A176,'Plano de Contas'!#REF!,10,FALSE))</f>
        <v/>
      </c>
    </row>
    <row r="177" spans="1:16" x14ac:dyDescent="0.25">
      <c r="A177" t="s">
        <v>301</v>
      </c>
      <c r="B177">
        <v>80</v>
      </c>
      <c r="C177" t="s">
        <v>302</v>
      </c>
      <c r="D177" s="10">
        <v>893368601.95000005</v>
      </c>
      <c r="F177" s="10">
        <v>887374.46</v>
      </c>
      <c r="H177" s="10">
        <v>7708.4</v>
      </c>
      <c r="I177" t="s">
        <v>35</v>
      </c>
      <c r="J177" s="10">
        <v>894248268.00999999</v>
      </c>
      <c r="L177" s="1">
        <f t="shared" si="2"/>
        <v>894248268.00999999</v>
      </c>
      <c r="N177" s="6" t="str">
        <f>IF(ISERROR(VLOOKUP($A177,'Plano de Contas'!#REF!,8,FALSE)),"",VLOOKUP($A177,'Plano de Contas'!#REF!,8,FALSE))</f>
        <v/>
      </c>
      <c r="P177" s="6" t="str">
        <f>IF(ISERROR(VLOOKUP($A177,'Plano de Contas'!#REF!,10,FALSE)),"",VLOOKUP($A177,'Plano de Contas'!#REF!,10,FALSE))</f>
        <v/>
      </c>
    </row>
    <row r="178" spans="1:16" x14ac:dyDescent="0.25">
      <c r="A178" s="50" t="s">
        <v>1470</v>
      </c>
      <c r="B178" s="50">
        <v>81</v>
      </c>
      <c r="C178" s="50" t="s">
        <v>1471</v>
      </c>
      <c r="D178" s="51">
        <v>55011.1</v>
      </c>
      <c r="E178" s="50"/>
      <c r="F178" s="50">
        <v>0</v>
      </c>
      <c r="G178" s="50"/>
      <c r="H178" s="50">
        <v>0</v>
      </c>
      <c r="I178" s="50"/>
      <c r="J178" s="51">
        <v>55011.1</v>
      </c>
      <c r="L178" s="1">
        <f t="shared" si="2"/>
        <v>55011.1</v>
      </c>
      <c r="N178" s="6" t="str">
        <f>IF(ISERROR(VLOOKUP($A178,'Plano de Contas'!#REF!,8,FALSE)),"",VLOOKUP($A178,'Plano de Contas'!#REF!,8,FALSE))</f>
        <v/>
      </c>
      <c r="P178" s="6" t="str">
        <f>IF(ISERROR(VLOOKUP($A178,'Plano de Contas'!#REF!,10,FALSE)),"",VLOOKUP($A178,'Plano de Contas'!#REF!,10,FALSE))</f>
        <v/>
      </c>
    </row>
    <row r="179" spans="1:16" x14ac:dyDescent="0.25">
      <c r="A179" t="s">
        <v>303</v>
      </c>
      <c r="B179">
        <v>82</v>
      </c>
      <c r="C179" t="s">
        <v>193</v>
      </c>
      <c r="D179" s="10">
        <v>21171467.82</v>
      </c>
      <c r="F179" s="10">
        <v>66500</v>
      </c>
      <c r="H179">
        <v>0</v>
      </c>
      <c r="J179" s="10">
        <v>21237967.82</v>
      </c>
      <c r="L179" s="1">
        <f t="shared" si="2"/>
        <v>21237967.82</v>
      </c>
      <c r="N179" s="6" t="str">
        <f>IF(ISERROR(VLOOKUP($A179,'Plano de Contas'!#REF!,8,FALSE)),"",VLOOKUP($A179,'Plano de Contas'!#REF!,8,FALSE))</f>
        <v/>
      </c>
      <c r="P179" s="6" t="str">
        <f>IF(ISERROR(VLOOKUP($A179,'Plano de Contas'!#REF!,10,FALSE)),"",VLOOKUP($A179,'Plano de Contas'!#REF!,10,FALSE))</f>
        <v/>
      </c>
    </row>
    <row r="180" spans="1:16" x14ac:dyDescent="0.25">
      <c r="A180" t="s">
        <v>304</v>
      </c>
      <c r="B180">
        <v>83</v>
      </c>
      <c r="C180" t="s">
        <v>305</v>
      </c>
      <c r="D180" s="10">
        <v>4642772.51</v>
      </c>
      <c r="F180">
        <v>0</v>
      </c>
      <c r="H180">
        <v>0</v>
      </c>
      <c r="J180" s="10">
        <v>4642772.51</v>
      </c>
      <c r="L180" s="1">
        <f t="shared" si="2"/>
        <v>4642772.51</v>
      </c>
      <c r="N180" s="6" t="str">
        <f>IF(ISERROR(VLOOKUP($A180,'Plano de Contas'!#REF!,8,FALSE)),"",VLOOKUP($A180,'Plano de Contas'!#REF!,8,FALSE))</f>
        <v/>
      </c>
      <c r="P180" s="6" t="str">
        <f>IF(ISERROR(VLOOKUP($A180,'Plano de Contas'!#REF!,10,FALSE)),"",VLOOKUP($A180,'Plano de Contas'!#REF!,10,FALSE))</f>
        <v/>
      </c>
    </row>
    <row r="181" spans="1:16" x14ac:dyDescent="0.25">
      <c r="A181" t="s">
        <v>306</v>
      </c>
      <c r="B181">
        <v>84</v>
      </c>
      <c r="C181" t="s">
        <v>307</v>
      </c>
      <c r="D181" s="10">
        <v>102895100.12</v>
      </c>
      <c r="F181">
        <v>0</v>
      </c>
      <c r="H181">
        <v>0</v>
      </c>
      <c r="J181" s="10">
        <v>102895100.12</v>
      </c>
      <c r="L181" s="1">
        <f t="shared" si="2"/>
        <v>102895100.12</v>
      </c>
      <c r="N181" s="6" t="str">
        <f>IF(ISERROR(VLOOKUP($A181,'Plano de Contas'!#REF!,8,FALSE)),"",VLOOKUP($A181,'Plano de Contas'!#REF!,8,FALSE))</f>
        <v/>
      </c>
      <c r="P181" s="6" t="str">
        <f>IF(ISERROR(VLOOKUP($A181,'Plano de Contas'!#REF!,10,FALSE)),"",VLOOKUP($A181,'Plano de Contas'!#REF!,10,FALSE))</f>
        <v/>
      </c>
    </row>
    <row r="182" spans="1:16" x14ac:dyDescent="0.25">
      <c r="A182" t="s">
        <v>308</v>
      </c>
      <c r="B182">
        <v>85</v>
      </c>
      <c r="C182" t="s">
        <v>309</v>
      </c>
      <c r="D182" s="10">
        <v>9964408.5700000003</v>
      </c>
      <c r="F182">
        <v>693</v>
      </c>
      <c r="H182">
        <v>0</v>
      </c>
      <c r="J182" s="10">
        <v>9965101.5700000003</v>
      </c>
      <c r="L182" s="1">
        <f t="shared" si="2"/>
        <v>9965101.5700000003</v>
      </c>
      <c r="N182" s="6" t="str">
        <f>IF(ISERROR(VLOOKUP($A182,'Plano de Contas'!#REF!,8,FALSE)),"",VLOOKUP($A182,'Plano de Contas'!#REF!,8,FALSE))</f>
        <v/>
      </c>
      <c r="P182" s="6" t="str">
        <f>IF(ISERROR(VLOOKUP($A182,'Plano de Contas'!#REF!,10,FALSE)),"",VLOOKUP($A182,'Plano de Contas'!#REF!,10,FALSE))</f>
        <v/>
      </c>
    </row>
    <row r="183" spans="1:16" x14ac:dyDescent="0.25">
      <c r="A183" t="s">
        <v>310</v>
      </c>
      <c r="B183">
        <v>86</v>
      </c>
      <c r="C183" t="s">
        <v>311</v>
      </c>
      <c r="D183" s="10">
        <v>800636.5</v>
      </c>
      <c r="F183">
        <v>0</v>
      </c>
      <c r="H183">
        <v>0</v>
      </c>
      <c r="J183" s="10">
        <v>800636.5</v>
      </c>
      <c r="L183" s="1">
        <f t="shared" si="2"/>
        <v>800636.5</v>
      </c>
      <c r="N183" s="6" t="str">
        <f>IF(ISERROR(VLOOKUP($A183,'Plano de Contas'!#REF!,8,FALSE)),"",VLOOKUP($A183,'Plano de Contas'!#REF!,8,FALSE))</f>
        <v/>
      </c>
      <c r="P183" s="6" t="str">
        <f>IF(ISERROR(VLOOKUP($A183,'Plano de Contas'!#REF!,10,FALSE)),"",VLOOKUP($A183,'Plano de Contas'!#REF!,10,FALSE))</f>
        <v/>
      </c>
    </row>
    <row r="184" spans="1:16" x14ac:dyDescent="0.25">
      <c r="A184" t="s">
        <v>312</v>
      </c>
      <c r="B184">
        <v>87</v>
      </c>
      <c r="C184" t="s">
        <v>313</v>
      </c>
      <c r="D184" s="10">
        <v>6291578.5899999999</v>
      </c>
      <c r="F184">
        <v>0</v>
      </c>
      <c r="H184" s="10">
        <v>-7708.4</v>
      </c>
      <c r="J184" s="10">
        <v>6283870.1900000004</v>
      </c>
      <c r="L184" s="1">
        <f t="shared" si="2"/>
        <v>6283870.1900000004</v>
      </c>
      <c r="N184" s="6" t="str">
        <f>IF(ISERROR(VLOOKUP($A184,'Plano de Contas'!#REF!,8,FALSE)),"",VLOOKUP($A184,'Plano de Contas'!#REF!,8,FALSE))</f>
        <v/>
      </c>
      <c r="P184" s="6" t="str">
        <f>IF(ISERROR(VLOOKUP($A184,'Plano de Contas'!#REF!,10,FALSE)),"",VLOOKUP($A184,'Plano de Contas'!#REF!,10,FALSE))</f>
        <v/>
      </c>
    </row>
    <row r="185" spans="1:16" x14ac:dyDescent="0.25">
      <c r="A185" t="s">
        <v>314</v>
      </c>
      <c r="B185">
        <v>460</v>
      </c>
      <c r="C185" t="s">
        <v>315</v>
      </c>
      <c r="D185" s="10">
        <v>1621570.82</v>
      </c>
      <c r="F185" s="10">
        <v>34000</v>
      </c>
      <c r="H185">
        <v>0</v>
      </c>
      <c r="J185" s="10">
        <v>1655570.82</v>
      </c>
      <c r="L185" s="1">
        <f t="shared" si="2"/>
        <v>1655570.82</v>
      </c>
      <c r="N185" s="6" t="str">
        <f>IF(ISERROR(VLOOKUP($A185,'Plano de Contas'!#REF!,8,FALSE)),"",VLOOKUP($A185,'Plano de Contas'!#REF!,8,FALSE))</f>
        <v/>
      </c>
      <c r="P185" s="6" t="str">
        <f>IF(ISERROR(VLOOKUP($A185,'Plano de Contas'!#REF!,10,FALSE)),"",VLOOKUP($A185,'Plano de Contas'!#REF!,10,FALSE))</f>
        <v/>
      </c>
    </row>
    <row r="186" spans="1:16" x14ac:dyDescent="0.25">
      <c r="A186" t="s">
        <v>316</v>
      </c>
      <c r="B186">
        <v>464</v>
      </c>
      <c r="C186" t="s">
        <v>317</v>
      </c>
      <c r="D186" s="10">
        <v>534287.4</v>
      </c>
      <c r="F186" s="10">
        <v>7708.4</v>
      </c>
      <c r="H186">
        <v>0</v>
      </c>
      <c r="J186" s="10">
        <v>541995.80000000005</v>
      </c>
      <c r="L186" s="1">
        <f t="shared" si="2"/>
        <v>541995.80000000005</v>
      </c>
      <c r="N186" s="6" t="str">
        <f>IF(ISERROR(VLOOKUP($A186,'Plano de Contas'!#REF!,8,FALSE)),"",VLOOKUP($A186,'Plano de Contas'!#REF!,8,FALSE))</f>
        <v/>
      </c>
      <c r="P186" s="6" t="str">
        <f>IF(ISERROR(VLOOKUP($A186,'Plano de Contas'!#REF!,10,FALSE)),"",VLOOKUP($A186,'Plano de Contas'!#REF!,10,FALSE))</f>
        <v/>
      </c>
    </row>
    <row r="187" spans="1:16" x14ac:dyDescent="0.25">
      <c r="A187" t="s">
        <v>318</v>
      </c>
      <c r="B187">
        <v>617</v>
      </c>
      <c r="C187" t="s">
        <v>319</v>
      </c>
      <c r="D187" s="10">
        <v>99588124.569999993</v>
      </c>
      <c r="F187">
        <v>0</v>
      </c>
      <c r="H187">
        <v>0</v>
      </c>
      <c r="J187" s="10">
        <v>99588124.569999993</v>
      </c>
      <c r="L187" s="1">
        <f t="shared" si="2"/>
        <v>99588124.569999993</v>
      </c>
      <c r="N187" s="6" t="str">
        <f>IF(ISERROR(VLOOKUP($A187,'Plano de Contas'!#REF!,8,FALSE)),"",VLOOKUP($A187,'Plano de Contas'!#REF!,8,FALSE))</f>
        <v/>
      </c>
      <c r="P187" s="6" t="str">
        <f>IF(ISERROR(VLOOKUP($A187,'Plano de Contas'!#REF!,10,FALSE)),"",VLOOKUP($A187,'Plano de Contas'!#REF!,10,FALSE))</f>
        <v/>
      </c>
    </row>
    <row r="188" spans="1:16" x14ac:dyDescent="0.25">
      <c r="A188" t="s">
        <v>320</v>
      </c>
      <c r="B188">
        <v>618</v>
      </c>
      <c r="C188" t="s">
        <v>321</v>
      </c>
      <c r="D188" s="10">
        <v>11065347.17</v>
      </c>
      <c r="F188">
        <v>0</v>
      </c>
      <c r="H188">
        <v>0</v>
      </c>
      <c r="J188" s="10">
        <v>11065347.17</v>
      </c>
      <c r="L188" s="1">
        <f t="shared" si="2"/>
        <v>11065347.17</v>
      </c>
      <c r="N188" s="6" t="str">
        <f>IF(ISERROR(VLOOKUP($A188,'Plano de Contas'!#REF!,8,FALSE)),"",VLOOKUP($A188,'Plano de Contas'!#REF!,8,FALSE))</f>
        <v/>
      </c>
      <c r="P188" s="6" t="str">
        <f>IF(ISERROR(VLOOKUP($A188,'Plano de Contas'!#REF!,10,FALSE)),"",VLOOKUP($A188,'Plano de Contas'!#REF!,10,FALSE))</f>
        <v/>
      </c>
    </row>
    <row r="189" spans="1:16" x14ac:dyDescent="0.25">
      <c r="A189" t="s">
        <v>322</v>
      </c>
      <c r="B189">
        <v>691</v>
      </c>
      <c r="C189" t="s">
        <v>323</v>
      </c>
      <c r="D189" s="10">
        <v>60904.55</v>
      </c>
      <c r="F189">
        <v>0</v>
      </c>
      <c r="H189">
        <v>0</v>
      </c>
      <c r="J189" s="10">
        <v>60904.55</v>
      </c>
      <c r="L189" s="1">
        <f t="shared" si="2"/>
        <v>60904.55</v>
      </c>
      <c r="N189" s="6" t="str">
        <f>IF(ISERROR(VLOOKUP($A189,'Plano de Contas'!#REF!,8,FALSE)),"",VLOOKUP($A189,'Plano de Contas'!#REF!,8,FALSE))</f>
        <v/>
      </c>
      <c r="P189" s="6" t="str">
        <f>IF(ISERROR(VLOOKUP($A189,'Plano de Contas'!#REF!,10,FALSE)),"",VLOOKUP($A189,'Plano de Contas'!#REF!,10,FALSE))</f>
        <v/>
      </c>
    </row>
    <row r="190" spans="1:16" x14ac:dyDescent="0.25">
      <c r="A190" t="s">
        <v>324</v>
      </c>
      <c r="B190">
        <v>692</v>
      </c>
      <c r="C190" t="s">
        <v>325</v>
      </c>
      <c r="D190" s="10">
        <v>14900</v>
      </c>
      <c r="F190">
        <v>0</v>
      </c>
      <c r="H190">
        <v>0</v>
      </c>
      <c r="J190" s="10">
        <v>14900</v>
      </c>
      <c r="L190" s="1">
        <f t="shared" si="2"/>
        <v>14900</v>
      </c>
      <c r="N190" s="6" t="str">
        <f>IF(ISERROR(VLOOKUP($A190,'Plano de Contas'!#REF!,8,FALSE)),"",VLOOKUP($A190,'Plano de Contas'!#REF!,8,FALSE))</f>
        <v/>
      </c>
      <c r="P190" s="6" t="str">
        <f>IF(ISERROR(VLOOKUP($A190,'Plano de Contas'!#REF!,10,FALSE)),"",VLOOKUP($A190,'Plano de Contas'!#REF!,10,FALSE))</f>
        <v/>
      </c>
    </row>
    <row r="191" spans="1:16" x14ac:dyDescent="0.25">
      <c r="A191" t="s">
        <v>326</v>
      </c>
      <c r="B191">
        <v>744</v>
      </c>
      <c r="C191" t="s">
        <v>327</v>
      </c>
      <c r="D191" s="10">
        <v>16760854.310000001</v>
      </c>
      <c r="F191">
        <v>0</v>
      </c>
      <c r="H191">
        <v>0</v>
      </c>
      <c r="J191" s="10">
        <v>16760854.310000001</v>
      </c>
      <c r="L191" s="1">
        <f t="shared" si="2"/>
        <v>16760854.310000001</v>
      </c>
      <c r="N191" s="6" t="str">
        <f>IF(ISERROR(VLOOKUP($A191,'Plano de Contas'!#REF!,8,FALSE)),"",VLOOKUP($A191,'Plano de Contas'!#REF!,8,FALSE))</f>
        <v/>
      </c>
      <c r="P191" s="6" t="str">
        <f>IF(ISERROR(VLOOKUP($A191,'Plano de Contas'!#REF!,10,FALSE)),"",VLOOKUP($A191,'Plano de Contas'!#REF!,10,FALSE))</f>
        <v/>
      </c>
    </row>
    <row r="192" spans="1:16" x14ac:dyDescent="0.25">
      <c r="A192" t="s">
        <v>328</v>
      </c>
      <c r="B192">
        <v>745</v>
      </c>
      <c r="C192" t="s">
        <v>329</v>
      </c>
      <c r="D192" s="10">
        <v>60074480.219999999</v>
      </c>
      <c r="F192">
        <v>0</v>
      </c>
      <c r="H192">
        <v>0</v>
      </c>
      <c r="J192" s="10">
        <v>60074480.219999999</v>
      </c>
      <c r="L192" s="1">
        <f t="shared" si="2"/>
        <v>60074480.219999999</v>
      </c>
      <c r="N192" s="6" t="str">
        <f>IF(ISERROR(VLOOKUP($A192,'Plano de Contas'!#REF!,8,FALSE)),"",VLOOKUP($A192,'Plano de Contas'!#REF!,8,FALSE))</f>
        <v/>
      </c>
      <c r="P192" s="6" t="str">
        <f>IF(ISERROR(VLOOKUP($A192,'Plano de Contas'!#REF!,10,FALSE)),"",VLOOKUP($A192,'Plano de Contas'!#REF!,10,FALSE))</f>
        <v/>
      </c>
    </row>
    <row r="193" spans="1:16" x14ac:dyDescent="0.25">
      <c r="A193" t="s">
        <v>330</v>
      </c>
      <c r="B193">
        <v>756</v>
      </c>
      <c r="C193" t="s">
        <v>331</v>
      </c>
      <c r="D193" s="10">
        <v>110029955.69</v>
      </c>
      <c r="F193">
        <v>0</v>
      </c>
      <c r="H193">
        <v>0</v>
      </c>
      <c r="J193" s="10">
        <v>110029955.69</v>
      </c>
      <c r="L193" s="1">
        <f t="shared" si="2"/>
        <v>110029955.69</v>
      </c>
      <c r="N193" s="6" t="str">
        <f>IF(ISERROR(VLOOKUP($A193,'Plano de Contas'!#REF!,8,FALSE)),"",VLOOKUP($A193,'Plano de Contas'!#REF!,8,FALSE))</f>
        <v/>
      </c>
      <c r="P193" s="6" t="str">
        <f>IF(ISERROR(VLOOKUP($A193,'Plano de Contas'!#REF!,10,FALSE)),"",VLOOKUP($A193,'Plano de Contas'!#REF!,10,FALSE))</f>
        <v/>
      </c>
    </row>
    <row r="194" spans="1:16" x14ac:dyDescent="0.25">
      <c r="A194" t="s">
        <v>332</v>
      </c>
      <c r="B194">
        <v>764</v>
      </c>
      <c r="C194" t="s">
        <v>333</v>
      </c>
      <c r="D194" s="10">
        <v>144772.85999999999</v>
      </c>
      <c r="F194">
        <v>0</v>
      </c>
      <c r="H194">
        <v>0</v>
      </c>
      <c r="J194" s="10">
        <v>144772.85999999999</v>
      </c>
      <c r="L194" s="1">
        <f t="shared" si="2"/>
        <v>144772.85999999999</v>
      </c>
      <c r="N194" s="6" t="str">
        <f>IF(ISERROR(VLOOKUP($A194,'Plano de Contas'!#REF!,8,FALSE)),"",VLOOKUP($A194,'Plano de Contas'!#REF!,8,FALSE))</f>
        <v/>
      </c>
      <c r="P194" s="6" t="str">
        <f>IF(ISERROR(VLOOKUP($A194,'Plano de Contas'!#REF!,10,FALSE)),"",VLOOKUP($A194,'Plano de Contas'!#REF!,10,FALSE))</f>
        <v/>
      </c>
    </row>
    <row r="195" spans="1:16" x14ac:dyDescent="0.25">
      <c r="A195" t="s">
        <v>334</v>
      </c>
      <c r="B195">
        <v>766</v>
      </c>
      <c r="C195" t="s">
        <v>335</v>
      </c>
      <c r="D195" s="10">
        <v>384841876.51999998</v>
      </c>
      <c r="F195">
        <v>0</v>
      </c>
      <c r="H195">
        <v>0</v>
      </c>
      <c r="J195" s="10">
        <v>384841876.51999998</v>
      </c>
      <c r="L195" s="1">
        <f t="shared" si="2"/>
        <v>384841876.51999998</v>
      </c>
      <c r="N195" s="6" t="str">
        <f>IF(ISERROR(VLOOKUP($A195,'Plano de Contas'!#REF!,8,FALSE)),"",VLOOKUP($A195,'Plano de Contas'!#REF!,8,FALSE))</f>
        <v/>
      </c>
      <c r="P195" s="6" t="str">
        <f>IF(ISERROR(VLOOKUP($A195,'Plano de Contas'!#REF!,10,FALSE)),"",VLOOKUP($A195,'Plano de Contas'!#REF!,10,FALSE))</f>
        <v/>
      </c>
    </row>
    <row r="196" spans="1:16" x14ac:dyDescent="0.25">
      <c r="A196" t="s">
        <v>336</v>
      </c>
      <c r="B196">
        <v>792</v>
      </c>
      <c r="C196" t="s">
        <v>337</v>
      </c>
      <c r="D196" s="10">
        <v>20510552.210000001</v>
      </c>
      <c r="F196">
        <v>0</v>
      </c>
      <c r="H196">
        <v>0</v>
      </c>
      <c r="J196" s="10">
        <v>20510552.210000001</v>
      </c>
      <c r="L196" s="1">
        <f t="shared" si="2"/>
        <v>20510552.210000001</v>
      </c>
      <c r="N196" s="6" t="str">
        <f>IF(ISERROR(VLOOKUP($A196,'Plano de Contas'!#REF!,8,FALSE)),"",VLOOKUP($A196,'Plano de Contas'!#REF!,8,FALSE))</f>
        <v/>
      </c>
      <c r="P196" s="6" t="str">
        <f>IF(ISERROR(VLOOKUP($A196,'Plano de Contas'!#REF!,10,FALSE)),"",VLOOKUP($A196,'Plano de Contas'!#REF!,10,FALSE))</f>
        <v/>
      </c>
    </row>
    <row r="197" spans="1:16" x14ac:dyDescent="0.25">
      <c r="A197" t="s">
        <v>338</v>
      </c>
      <c r="B197">
        <v>795</v>
      </c>
      <c r="C197" t="s">
        <v>339</v>
      </c>
      <c r="D197" s="10">
        <v>911251.89</v>
      </c>
      <c r="F197">
        <v>0</v>
      </c>
      <c r="H197">
        <v>0</v>
      </c>
      <c r="J197" s="10">
        <v>911251.89</v>
      </c>
      <c r="L197" s="1">
        <f t="shared" si="2"/>
        <v>911251.89</v>
      </c>
      <c r="N197" s="6" t="str">
        <f>IF(ISERROR(VLOOKUP($A197,'Plano de Contas'!#REF!,8,FALSE)),"",VLOOKUP($A197,'Plano de Contas'!#REF!,8,FALSE))</f>
        <v/>
      </c>
      <c r="P197" s="6" t="str">
        <f>IF(ISERROR(VLOOKUP($A197,'Plano de Contas'!#REF!,10,FALSE)),"",VLOOKUP($A197,'Plano de Contas'!#REF!,10,FALSE))</f>
        <v/>
      </c>
    </row>
    <row r="198" spans="1:16" x14ac:dyDescent="0.25">
      <c r="A198" t="s">
        <v>340</v>
      </c>
      <c r="B198">
        <v>797</v>
      </c>
      <c r="C198" t="s">
        <v>341</v>
      </c>
      <c r="D198" s="10">
        <v>1511363.46</v>
      </c>
      <c r="F198">
        <v>0</v>
      </c>
      <c r="H198">
        <v>0</v>
      </c>
      <c r="J198" s="10">
        <v>1511363.46</v>
      </c>
      <c r="L198" s="1">
        <f t="shared" si="2"/>
        <v>1511363.46</v>
      </c>
      <c r="N198" s="6" t="str">
        <f>IF(ISERROR(VLOOKUP($A198,'Plano de Contas'!#REF!,8,FALSE)),"",VLOOKUP($A198,'Plano de Contas'!#REF!,8,FALSE))</f>
        <v/>
      </c>
      <c r="P198" s="6" t="str">
        <f>IF(ISERROR(VLOOKUP($A198,'Plano de Contas'!#REF!,10,FALSE)),"",VLOOKUP($A198,'Plano de Contas'!#REF!,10,FALSE))</f>
        <v/>
      </c>
    </row>
    <row r="199" spans="1:16" x14ac:dyDescent="0.25">
      <c r="A199" t="s">
        <v>342</v>
      </c>
      <c r="B199">
        <v>806</v>
      </c>
      <c r="C199" t="s">
        <v>343</v>
      </c>
      <c r="D199" s="10">
        <v>53669.64</v>
      </c>
      <c r="F199">
        <v>0</v>
      </c>
      <c r="H199">
        <v>0</v>
      </c>
      <c r="J199" s="10">
        <v>53669.64</v>
      </c>
      <c r="L199" s="1">
        <f t="shared" si="2"/>
        <v>53669.64</v>
      </c>
      <c r="N199" s="6" t="str">
        <f>IF(ISERROR(VLOOKUP($A199,'Plano de Contas'!#REF!,8,FALSE)),"",VLOOKUP($A199,'Plano de Contas'!#REF!,8,FALSE))</f>
        <v/>
      </c>
      <c r="P199" s="6" t="str">
        <f>IF(ISERROR(VLOOKUP($A199,'Plano de Contas'!#REF!,10,FALSE)),"",VLOOKUP($A199,'Plano de Contas'!#REF!,10,FALSE))</f>
        <v/>
      </c>
    </row>
    <row r="200" spans="1:16" x14ac:dyDescent="0.25">
      <c r="A200" t="s">
        <v>344</v>
      </c>
      <c r="B200">
        <v>810</v>
      </c>
      <c r="C200" t="s">
        <v>345</v>
      </c>
      <c r="D200" s="10">
        <v>489670.98</v>
      </c>
      <c r="F200">
        <v>0</v>
      </c>
      <c r="H200">
        <v>0</v>
      </c>
      <c r="J200" s="10">
        <v>489670.98</v>
      </c>
      <c r="L200" s="1">
        <f t="shared" ref="L200:L263" si="3">IF(K200="-",-J200,J200)</f>
        <v>489670.98</v>
      </c>
      <c r="N200" s="6" t="str">
        <f>IF(ISERROR(VLOOKUP($A200,'Plano de Contas'!#REF!,8,FALSE)),"",VLOOKUP($A200,'Plano de Contas'!#REF!,8,FALSE))</f>
        <v/>
      </c>
      <c r="P200" s="6" t="str">
        <f>IF(ISERROR(VLOOKUP($A200,'Plano de Contas'!#REF!,10,FALSE)),"",VLOOKUP($A200,'Plano de Contas'!#REF!,10,FALSE))</f>
        <v/>
      </c>
    </row>
    <row r="201" spans="1:16" x14ac:dyDescent="0.25">
      <c r="A201" t="s">
        <v>346</v>
      </c>
      <c r="B201">
        <v>811</v>
      </c>
      <c r="C201" t="s">
        <v>347</v>
      </c>
      <c r="D201" s="10">
        <v>11641005.82</v>
      </c>
      <c r="F201">
        <v>0</v>
      </c>
      <c r="H201">
        <v>0</v>
      </c>
      <c r="J201" s="10">
        <v>11641005.82</v>
      </c>
      <c r="L201" s="1">
        <f t="shared" si="3"/>
        <v>11641005.82</v>
      </c>
      <c r="N201" s="6" t="str">
        <f>IF(ISERROR(VLOOKUP($A201,'Plano de Contas'!#REF!,8,FALSE)),"",VLOOKUP($A201,'Plano de Contas'!#REF!,8,FALSE))</f>
        <v/>
      </c>
      <c r="P201" s="6" t="str">
        <f>IF(ISERROR(VLOOKUP($A201,'Plano de Contas'!#REF!,10,FALSE)),"",VLOOKUP($A201,'Plano de Contas'!#REF!,10,FALSE))</f>
        <v/>
      </c>
    </row>
    <row r="202" spans="1:16" x14ac:dyDescent="0.25">
      <c r="A202" t="s">
        <v>348</v>
      </c>
      <c r="B202">
        <v>819</v>
      </c>
      <c r="C202" t="s">
        <v>349</v>
      </c>
      <c r="D202" s="10">
        <v>1649047.79</v>
      </c>
      <c r="F202">
        <v>0</v>
      </c>
      <c r="H202">
        <v>0</v>
      </c>
      <c r="J202" s="10">
        <v>1649047.79</v>
      </c>
      <c r="L202" s="1">
        <f t="shared" si="3"/>
        <v>1649047.79</v>
      </c>
      <c r="N202" s="6" t="str">
        <f>IF(ISERROR(VLOOKUP($A202,'Plano de Contas'!#REF!,8,FALSE)),"",VLOOKUP($A202,'Plano de Contas'!#REF!,8,FALSE))</f>
        <v/>
      </c>
      <c r="P202" s="6" t="str">
        <f>IF(ISERROR(VLOOKUP($A202,'Plano de Contas'!#REF!,10,FALSE)),"",VLOOKUP($A202,'Plano de Contas'!#REF!,10,FALSE))</f>
        <v/>
      </c>
    </row>
    <row r="203" spans="1:16" x14ac:dyDescent="0.25">
      <c r="A203" t="s">
        <v>350</v>
      </c>
      <c r="B203">
        <v>821</v>
      </c>
      <c r="C203" t="s">
        <v>351</v>
      </c>
      <c r="D203" s="10">
        <v>20849639.489999998</v>
      </c>
      <c r="F203">
        <v>0</v>
      </c>
      <c r="H203">
        <v>0</v>
      </c>
      <c r="J203" s="10">
        <v>20849639.489999998</v>
      </c>
      <c r="L203" s="1">
        <f t="shared" si="3"/>
        <v>20849639.489999998</v>
      </c>
      <c r="N203" s="6" t="str">
        <f>IF(ISERROR(VLOOKUP($A203,'Plano de Contas'!#REF!,8,FALSE)),"",VLOOKUP($A203,'Plano de Contas'!#REF!,8,FALSE))</f>
        <v/>
      </c>
      <c r="P203" s="6" t="str">
        <f>IF(ISERROR(VLOOKUP($A203,'Plano de Contas'!#REF!,10,FALSE)),"",VLOOKUP($A203,'Plano de Contas'!#REF!,10,FALSE))</f>
        <v/>
      </c>
    </row>
    <row r="204" spans="1:16" x14ac:dyDescent="0.25">
      <c r="A204" t="s">
        <v>352</v>
      </c>
      <c r="B204">
        <v>823</v>
      </c>
      <c r="C204" t="s">
        <v>353</v>
      </c>
      <c r="D204" s="10">
        <v>73665.05</v>
      </c>
      <c r="F204">
        <v>0</v>
      </c>
      <c r="H204">
        <v>0</v>
      </c>
      <c r="J204" s="10">
        <v>73665.05</v>
      </c>
      <c r="L204" s="1">
        <f t="shared" si="3"/>
        <v>73665.05</v>
      </c>
      <c r="N204" s="6" t="str">
        <f>IF(ISERROR(VLOOKUP($A204,'Plano de Contas'!#REF!,8,FALSE)),"",VLOOKUP($A204,'Plano de Contas'!#REF!,8,FALSE))</f>
        <v/>
      </c>
      <c r="P204" s="6" t="str">
        <f>IF(ISERROR(VLOOKUP($A204,'Plano de Contas'!#REF!,10,FALSE)),"",VLOOKUP($A204,'Plano de Contas'!#REF!,10,FALSE))</f>
        <v/>
      </c>
    </row>
    <row r="205" spans="1:16" x14ac:dyDescent="0.25">
      <c r="A205" t="s">
        <v>354</v>
      </c>
      <c r="B205">
        <v>825</v>
      </c>
      <c r="C205" t="s">
        <v>355</v>
      </c>
      <c r="D205" s="10">
        <v>141908.59</v>
      </c>
      <c r="F205">
        <v>0</v>
      </c>
      <c r="H205">
        <v>0</v>
      </c>
      <c r="J205" s="10">
        <v>141908.59</v>
      </c>
      <c r="L205" s="1">
        <f t="shared" si="3"/>
        <v>141908.59</v>
      </c>
      <c r="N205" s="6" t="str">
        <f>IF(ISERROR(VLOOKUP($A205,'Plano de Contas'!#REF!,8,FALSE)),"",VLOOKUP($A205,'Plano de Contas'!#REF!,8,FALSE))</f>
        <v/>
      </c>
      <c r="P205" s="6" t="str">
        <f>IF(ISERROR(VLOOKUP($A205,'Plano de Contas'!#REF!,10,FALSE)),"",VLOOKUP($A205,'Plano de Contas'!#REF!,10,FALSE))</f>
        <v/>
      </c>
    </row>
    <row r="206" spans="1:16" x14ac:dyDescent="0.25">
      <c r="A206" t="s">
        <v>356</v>
      </c>
      <c r="B206">
        <v>827</v>
      </c>
      <c r="C206" t="s">
        <v>357</v>
      </c>
      <c r="D206" s="10">
        <v>451147.57</v>
      </c>
      <c r="F206">
        <v>0</v>
      </c>
      <c r="H206">
        <v>0</v>
      </c>
      <c r="J206" s="10">
        <v>451147.57</v>
      </c>
      <c r="L206" s="1">
        <f t="shared" si="3"/>
        <v>451147.57</v>
      </c>
      <c r="N206" s="6" t="str">
        <f>IF(ISERROR(VLOOKUP($A206,'Plano de Contas'!#REF!,8,FALSE)),"",VLOOKUP($A206,'Plano de Contas'!#REF!,8,FALSE))</f>
        <v/>
      </c>
      <c r="P206" s="6" t="str">
        <f>IF(ISERROR(VLOOKUP($A206,'Plano de Contas'!#REF!,10,FALSE)),"",VLOOKUP($A206,'Plano de Contas'!#REF!,10,FALSE))</f>
        <v/>
      </c>
    </row>
    <row r="207" spans="1:16" x14ac:dyDescent="0.25">
      <c r="A207" t="s">
        <v>358</v>
      </c>
      <c r="B207">
        <v>865</v>
      </c>
      <c r="C207" t="s">
        <v>359</v>
      </c>
      <c r="D207" s="10">
        <v>2027630.14</v>
      </c>
      <c r="F207" s="10">
        <v>778473.06</v>
      </c>
      <c r="H207">
        <v>0</v>
      </c>
      <c r="J207" s="10">
        <v>2806103.2</v>
      </c>
      <c r="L207" s="1">
        <f t="shared" si="3"/>
        <v>2806103.2</v>
      </c>
      <c r="N207" s="6" t="str">
        <f>IF(ISERROR(VLOOKUP($A207,'Plano de Contas'!#REF!,8,FALSE)),"",VLOOKUP($A207,'Plano de Contas'!#REF!,8,FALSE))</f>
        <v/>
      </c>
      <c r="P207" s="6" t="str">
        <f>IF(ISERROR(VLOOKUP($A207,'Plano de Contas'!#REF!,10,FALSE)),"",VLOOKUP($A207,'Plano de Contas'!#REF!,10,FALSE))</f>
        <v/>
      </c>
    </row>
    <row r="208" spans="1:16" x14ac:dyDescent="0.25">
      <c r="A208" t="s">
        <v>360</v>
      </c>
      <c r="B208">
        <v>914</v>
      </c>
      <c r="C208" t="s">
        <v>361</v>
      </c>
      <c r="D208" s="10">
        <v>2500000</v>
      </c>
      <c r="F208">
        <v>0</v>
      </c>
      <c r="H208">
        <v>0</v>
      </c>
      <c r="J208" s="10">
        <v>2500000</v>
      </c>
      <c r="L208" s="1">
        <f t="shared" si="3"/>
        <v>2500000</v>
      </c>
      <c r="N208" s="6" t="str">
        <f>IF(ISERROR(VLOOKUP($A208,'Plano de Contas'!#REF!,8,FALSE)),"",VLOOKUP($A208,'Plano de Contas'!#REF!,8,FALSE))</f>
        <v/>
      </c>
      <c r="P208" s="6" t="str">
        <f>IF(ISERROR(VLOOKUP($A208,'Plano de Contas'!#REF!,10,FALSE)),"",VLOOKUP($A208,'Plano de Contas'!#REF!,10,FALSE))</f>
        <v/>
      </c>
    </row>
    <row r="209" spans="1:16" x14ac:dyDescent="0.25">
      <c r="L209" s="1">
        <f t="shared" si="3"/>
        <v>0</v>
      </c>
      <c r="N209" s="6" t="str">
        <f>IF(ISERROR(VLOOKUP($A209,'Plano de Contas'!#REF!,8,FALSE)),"",VLOOKUP($A209,'Plano de Contas'!#REF!,8,FALSE))</f>
        <v/>
      </c>
      <c r="P209" s="6" t="str">
        <f>IF(ISERROR(VLOOKUP($A209,'Plano de Contas'!#REF!,10,FALSE)),"",VLOOKUP($A209,'Plano de Contas'!#REF!,10,FALSE))</f>
        <v/>
      </c>
    </row>
    <row r="210" spans="1:16" x14ac:dyDescent="0.25">
      <c r="A210" t="s">
        <v>368</v>
      </c>
      <c r="B210">
        <v>88</v>
      </c>
      <c r="C210" t="s">
        <v>369</v>
      </c>
      <c r="D210" s="10">
        <v>63276533.039999999</v>
      </c>
      <c r="F210">
        <v>0</v>
      </c>
      <c r="H210">
        <v>0</v>
      </c>
      <c r="J210" s="10">
        <v>63276533.039999999</v>
      </c>
      <c r="L210" s="1">
        <f t="shared" si="3"/>
        <v>63276533.039999999</v>
      </c>
      <c r="N210" s="6" t="str">
        <f>IF(ISERROR(VLOOKUP($A210,'Plano de Contas'!#REF!,8,FALSE)),"",VLOOKUP($A210,'Plano de Contas'!#REF!,8,FALSE))</f>
        <v/>
      </c>
      <c r="P210" s="6" t="str">
        <f>IF(ISERROR(VLOOKUP($A210,'Plano de Contas'!#REF!,10,FALSE)),"",VLOOKUP($A210,'Plano de Contas'!#REF!,10,FALSE))</f>
        <v/>
      </c>
    </row>
    <row r="211" spans="1:16" x14ac:dyDescent="0.25">
      <c r="A211" t="s">
        <v>370</v>
      </c>
      <c r="B211">
        <v>90</v>
      </c>
      <c r="C211" t="s">
        <v>371</v>
      </c>
      <c r="D211" s="10">
        <v>987735.26</v>
      </c>
      <c r="F211">
        <v>0</v>
      </c>
      <c r="H211">
        <v>0</v>
      </c>
      <c r="J211" s="10">
        <v>987735.26</v>
      </c>
      <c r="L211" s="1">
        <f t="shared" si="3"/>
        <v>987735.26</v>
      </c>
      <c r="N211" s="6" t="str">
        <f>IF(ISERROR(VLOOKUP($A211,'Plano de Contas'!#REF!,8,FALSE)),"",VLOOKUP($A211,'Plano de Contas'!#REF!,8,FALSE))</f>
        <v/>
      </c>
      <c r="P211" s="6" t="str">
        <f>IF(ISERROR(VLOOKUP($A211,'Plano de Contas'!#REF!,10,FALSE)),"",VLOOKUP($A211,'Plano de Contas'!#REF!,10,FALSE))</f>
        <v/>
      </c>
    </row>
    <row r="212" spans="1:16" x14ac:dyDescent="0.25">
      <c r="A212" t="s">
        <v>372</v>
      </c>
      <c r="B212">
        <v>91</v>
      </c>
      <c r="C212" t="s">
        <v>373</v>
      </c>
      <c r="D212" s="10">
        <v>4664739.82</v>
      </c>
      <c r="F212">
        <v>0</v>
      </c>
      <c r="H212">
        <v>0</v>
      </c>
      <c r="J212" s="10">
        <v>4664739.82</v>
      </c>
      <c r="L212" s="1">
        <f t="shared" si="3"/>
        <v>4664739.82</v>
      </c>
      <c r="N212" s="6" t="str">
        <f>IF(ISERROR(VLOOKUP($A212,'Plano de Contas'!#REF!,8,FALSE)),"",VLOOKUP($A212,'Plano de Contas'!#REF!,8,FALSE))</f>
        <v/>
      </c>
      <c r="P212" s="6" t="str">
        <f>IF(ISERROR(VLOOKUP($A212,'Plano de Contas'!#REF!,10,FALSE)),"",VLOOKUP($A212,'Plano de Contas'!#REF!,10,FALSE))</f>
        <v/>
      </c>
    </row>
    <row r="213" spans="1:16" x14ac:dyDescent="0.25">
      <c r="A213" t="s">
        <v>374</v>
      </c>
      <c r="B213">
        <v>92</v>
      </c>
      <c r="C213" t="s">
        <v>375</v>
      </c>
      <c r="D213" s="10">
        <v>57078378</v>
      </c>
      <c r="F213">
        <v>0</v>
      </c>
      <c r="H213">
        <v>0</v>
      </c>
      <c r="J213" s="10">
        <v>57078378</v>
      </c>
      <c r="L213" s="1">
        <f t="shared" si="3"/>
        <v>57078378</v>
      </c>
      <c r="N213" s="6" t="str">
        <f>IF(ISERROR(VLOOKUP($A213,'Plano de Contas'!#REF!,8,FALSE)),"",VLOOKUP($A213,'Plano de Contas'!#REF!,8,FALSE))</f>
        <v/>
      </c>
      <c r="P213" s="6" t="str">
        <f>IF(ISERROR(VLOOKUP($A213,'Plano de Contas'!#REF!,10,FALSE)),"",VLOOKUP($A213,'Plano de Contas'!#REF!,10,FALSE))</f>
        <v/>
      </c>
    </row>
    <row r="214" spans="1:16" x14ac:dyDescent="0.25">
      <c r="A214" t="s">
        <v>376</v>
      </c>
      <c r="B214">
        <v>93</v>
      </c>
      <c r="C214" t="s">
        <v>377</v>
      </c>
      <c r="D214" s="10">
        <v>131809.38</v>
      </c>
      <c r="F214">
        <v>0</v>
      </c>
      <c r="H214">
        <v>0</v>
      </c>
      <c r="J214" s="10">
        <v>131809.38</v>
      </c>
      <c r="L214" s="1">
        <f t="shared" si="3"/>
        <v>131809.38</v>
      </c>
      <c r="N214" s="6" t="str">
        <f>IF(ISERROR(VLOOKUP($A214,'Plano de Contas'!#REF!,8,FALSE)),"",VLOOKUP($A214,'Plano de Contas'!#REF!,8,FALSE))</f>
        <v/>
      </c>
      <c r="P214" s="6" t="str">
        <f>IF(ISERROR(VLOOKUP($A214,'Plano de Contas'!#REF!,10,FALSE)),"",VLOOKUP($A214,'Plano de Contas'!#REF!,10,FALSE))</f>
        <v/>
      </c>
    </row>
    <row r="215" spans="1:16" x14ac:dyDescent="0.25">
      <c r="A215" t="s">
        <v>378</v>
      </c>
      <c r="B215">
        <v>94</v>
      </c>
      <c r="C215" t="s">
        <v>379</v>
      </c>
      <c r="D215" s="10">
        <v>131123.26999999999</v>
      </c>
      <c r="F215">
        <v>0</v>
      </c>
      <c r="H215">
        <v>0</v>
      </c>
      <c r="J215" s="10">
        <v>131123.26999999999</v>
      </c>
      <c r="L215" s="1">
        <f t="shared" si="3"/>
        <v>131123.26999999999</v>
      </c>
      <c r="N215" s="6" t="str">
        <f>IF(ISERROR(VLOOKUP($A215,'Plano de Contas'!#REF!,8,FALSE)),"",VLOOKUP($A215,'Plano de Contas'!#REF!,8,FALSE))</f>
        <v/>
      </c>
      <c r="P215" s="6" t="str">
        <f>IF(ISERROR(VLOOKUP($A215,'Plano de Contas'!#REF!,10,FALSE)),"",VLOOKUP($A215,'Plano de Contas'!#REF!,10,FALSE))</f>
        <v/>
      </c>
    </row>
    <row r="216" spans="1:16" x14ac:dyDescent="0.25">
      <c r="A216" t="s">
        <v>380</v>
      </c>
      <c r="B216">
        <v>95</v>
      </c>
      <c r="C216" t="s">
        <v>381</v>
      </c>
      <c r="D216" s="10">
        <v>264529.94</v>
      </c>
      <c r="F216">
        <v>0</v>
      </c>
      <c r="H216">
        <v>0</v>
      </c>
      <c r="J216" s="10">
        <v>264529.94</v>
      </c>
      <c r="L216" s="1">
        <f t="shared" si="3"/>
        <v>264529.94</v>
      </c>
      <c r="N216" s="6" t="str">
        <f>IF(ISERROR(VLOOKUP($A216,'Plano de Contas'!#REF!,8,FALSE)),"",VLOOKUP($A216,'Plano de Contas'!#REF!,8,FALSE))</f>
        <v/>
      </c>
      <c r="P216" s="6" t="str">
        <f>IF(ISERROR(VLOOKUP($A216,'Plano de Contas'!#REF!,10,FALSE)),"",VLOOKUP($A216,'Plano de Contas'!#REF!,10,FALSE))</f>
        <v/>
      </c>
    </row>
    <row r="217" spans="1:16" x14ac:dyDescent="0.25">
      <c r="A217" t="s">
        <v>382</v>
      </c>
      <c r="B217">
        <v>461</v>
      </c>
      <c r="C217" t="s">
        <v>383</v>
      </c>
      <c r="D217" s="10">
        <v>18217.37</v>
      </c>
      <c r="F217">
        <v>0</v>
      </c>
      <c r="H217">
        <v>0</v>
      </c>
      <c r="J217" s="10">
        <v>18217.37</v>
      </c>
      <c r="L217" s="1">
        <f t="shared" si="3"/>
        <v>18217.37</v>
      </c>
      <c r="N217" s="6" t="str">
        <f>IF(ISERROR(VLOOKUP($A217,'Plano de Contas'!#REF!,8,FALSE)),"",VLOOKUP($A217,'Plano de Contas'!#REF!,8,FALSE))</f>
        <v/>
      </c>
      <c r="P217" s="6" t="str">
        <f>IF(ISERROR(VLOOKUP($A217,'Plano de Contas'!#REF!,10,FALSE)),"",VLOOKUP($A217,'Plano de Contas'!#REF!,10,FALSE))</f>
        <v/>
      </c>
    </row>
    <row r="218" spans="1:16" x14ac:dyDescent="0.25">
      <c r="L218" s="1">
        <f t="shared" si="3"/>
        <v>0</v>
      </c>
      <c r="N218" s="6" t="str">
        <f>IF(ISERROR(VLOOKUP($A218,'Plano de Contas'!#REF!,8,FALSE)),"",VLOOKUP($A218,'Plano de Contas'!#REF!,8,FALSE))</f>
        <v/>
      </c>
      <c r="P218" s="6" t="str">
        <f>IF(ISERROR(VLOOKUP($A218,'Plano de Contas'!#REF!,10,FALSE)),"",VLOOKUP($A218,'Plano de Contas'!#REF!,10,FALSE))</f>
        <v/>
      </c>
    </row>
    <row r="219" spans="1:16" x14ac:dyDescent="0.25">
      <c r="A219" t="s">
        <v>384</v>
      </c>
      <c r="B219">
        <v>96</v>
      </c>
      <c r="C219" t="s">
        <v>385</v>
      </c>
      <c r="D219" s="10">
        <v>1253216437</v>
      </c>
      <c r="F219" s="10">
        <v>182752017.66</v>
      </c>
      <c r="H219" s="10">
        <v>761062.68</v>
      </c>
      <c r="I219" t="s">
        <v>35</v>
      </c>
      <c r="J219" s="10">
        <v>1435207391.98</v>
      </c>
      <c r="L219" s="35">
        <f t="shared" si="3"/>
        <v>1435207391.98</v>
      </c>
      <c r="N219" s="6" t="str">
        <f>IF(ISERROR(VLOOKUP($A219,'Plano de Contas'!#REF!,8,FALSE)),"",VLOOKUP($A219,'Plano de Contas'!#REF!,8,FALSE))</f>
        <v/>
      </c>
      <c r="P219" s="6" t="str">
        <f>IF(ISERROR(VLOOKUP($A219,'Plano de Contas'!#REF!,10,FALSE)),"",VLOOKUP($A219,'Plano de Contas'!#REF!,10,FALSE))</f>
        <v/>
      </c>
    </row>
    <row r="220" spans="1:16" x14ac:dyDescent="0.25">
      <c r="A220" t="s">
        <v>386</v>
      </c>
      <c r="B220">
        <v>323</v>
      </c>
      <c r="C220" t="s">
        <v>387</v>
      </c>
      <c r="D220" s="10">
        <v>1225489556.8599999</v>
      </c>
      <c r="F220" s="10">
        <v>182752017.66</v>
      </c>
      <c r="H220" s="10">
        <v>761062.68</v>
      </c>
      <c r="I220" t="s">
        <v>35</v>
      </c>
      <c r="J220" s="10">
        <v>1407480511.8399999</v>
      </c>
      <c r="L220" s="1">
        <f t="shared" si="3"/>
        <v>1407480511.8399999</v>
      </c>
      <c r="N220" s="6" t="str">
        <f>IF(ISERROR(VLOOKUP($A220,'Plano de Contas'!#REF!,8,FALSE)),"",VLOOKUP($A220,'Plano de Contas'!#REF!,8,FALSE))</f>
        <v/>
      </c>
      <c r="P220" s="6" t="str">
        <f>IF(ISERROR(VLOOKUP($A220,'Plano de Contas'!#REF!,10,FALSE)),"",VLOOKUP($A220,'Plano de Contas'!#REF!,10,FALSE))</f>
        <v/>
      </c>
    </row>
    <row r="221" spans="1:16" x14ac:dyDescent="0.25">
      <c r="A221" t="s">
        <v>388</v>
      </c>
      <c r="B221">
        <v>324</v>
      </c>
      <c r="C221" t="s">
        <v>389</v>
      </c>
      <c r="D221" s="10">
        <v>9596917.9900000002</v>
      </c>
      <c r="F221">
        <v>0</v>
      </c>
      <c r="H221">
        <v>0</v>
      </c>
      <c r="J221" s="10">
        <v>9596917.9900000002</v>
      </c>
      <c r="L221" s="1">
        <f t="shared" si="3"/>
        <v>9596917.9900000002</v>
      </c>
      <c r="N221" s="6" t="str">
        <f>IF(ISERROR(VLOOKUP($A221,'Plano de Contas'!#REF!,8,FALSE)),"",VLOOKUP($A221,'Plano de Contas'!#REF!,8,FALSE))</f>
        <v/>
      </c>
      <c r="P221" s="6" t="str">
        <f>IF(ISERROR(VLOOKUP($A221,'Plano de Contas'!#REF!,10,FALSE)),"",VLOOKUP($A221,'Plano de Contas'!#REF!,10,FALSE))</f>
        <v/>
      </c>
    </row>
    <row r="222" spans="1:16" x14ac:dyDescent="0.25">
      <c r="A222" t="s">
        <v>390</v>
      </c>
      <c r="B222">
        <v>638</v>
      </c>
      <c r="C222" t="s">
        <v>391</v>
      </c>
      <c r="D222" s="10">
        <v>145225.78</v>
      </c>
      <c r="F222">
        <v>0</v>
      </c>
      <c r="H222">
        <v>0</v>
      </c>
      <c r="J222" s="10">
        <v>145225.78</v>
      </c>
      <c r="L222" s="1">
        <f t="shared" si="3"/>
        <v>145225.78</v>
      </c>
      <c r="N222" s="6" t="str">
        <f>IF(ISERROR(VLOOKUP($A222,'Plano de Contas'!#REF!,8,FALSE)),"",VLOOKUP($A222,'Plano de Contas'!#REF!,8,FALSE))</f>
        <v/>
      </c>
      <c r="P222" s="6" t="str">
        <f>IF(ISERROR(VLOOKUP($A222,'Plano de Contas'!#REF!,10,FALSE)),"",VLOOKUP($A222,'Plano de Contas'!#REF!,10,FALSE))</f>
        <v/>
      </c>
    </row>
    <row r="223" spans="1:16" x14ac:dyDescent="0.25">
      <c r="A223" t="s">
        <v>392</v>
      </c>
      <c r="B223">
        <v>639</v>
      </c>
      <c r="C223" t="s">
        <v>393</v>
      </c>
      <c r="D223" s="10">
        <v>51514.54</v>
      </c>
      <c r="F223">
        <v>0</v>
      </c>
      <c r="H223">
        <v>0</v>
      </c>
      <c r="J223" s="10">
        <v>51514.54</v>
      </c>
      <c r="L223" s="1">
        <f t="shared" si="3"/>
        <v>51514.54</v>
      </c>
      <c r="N223" s="6" t="str">
        <f>IF(ISERROR(VLOOKUP($A223,'Plano de Contas'!#REF!,8,FALSE)),"",VLOOKUP($A223,'Plano de Contas'!#REF!,8,FALSE))</f>
        <v/>
      </c>
      <c r="P223" s="6" t="str">
        <f>IF(ISERROR(VLOOKUP($A223,'Plano de Contas'!#REF!,10,FALSE)),"",VLOOKUP($A223,'Plano de Contas'!#REF!,10,FALSE))</f>
        <v/>
      </c>
    </row>
    <row r="224" spans="1:16" x14ac:dyDescent="0.25">
      <c r="A224" t="s">
        <v>394</v>
      </c>
      <c r="B224">
        <v>642</v>
      </c>
      <c r="C224" t="s">
        <v>395</v>
      </c>
      <c r="D224" s="10">
        <v>521985.21</v>
      </c>
      <c r="F224">
        <v>0</v>
      </c>
      <c r="H224">
        <v>0</v>
      </c>
      <c r="J224" s="10">
        <v>521985.21</v>
      </c>
      <c r="L224" s="1">
        <f t="shared" si="3"/>
        <v>521985.21</v>
      </c>
      <c r="N224" s="6" t="str">
        <f>IF(ISERROR(VLOOKUP($A224,'Plano de Contas'!#REF!,8,FALSE)),"",VLOOKUP($A224,'Plano de Contas'!#REF!,8,FALSE))</f>
        <v/>
      </c>
      <c r="P224" s="6" t="str">
        <f>IF(ISERROR(VLOOKUP($A224,'Plano de Contas'!#REF!,10,FALSE)),"",VLOOKUP($A224,'Plano de Contas'!#REF!,10,FALSE))</f>
        <v/>
      </c>
    </row>
    <row r="225" spans="1:16" x14ac:dyDescent="0.25">
      <c r="A225" t="s">
        <v>396</v>
      </c>
      <c r="B225">
        <v>643</v>
      </c>
      <c r="C225" t="s">
        <v>397</v>
      </c>
      <c r="D225" s="10">
        <v>164400.75</v>
      </c>
      <c r="F225">
        <v>0</v>
      </c>
      <c r="H225">
        <v>0</v>
      </c>
      <c r="J225" s="10">
        <v>164400.75</v>
      </c>
      <c r="L225" s="1">
        <f t="shared" si="3"/>
        <v>164400.75</v>
      </c>
      <c r="N225" s="6" t="str">
        <f>IF(ISERROR(VLOOKUP($A225,'Plano de Contas'!#REF!,8,FALSE)),"",VLOOKUP($A225,'Plano de Contas'!#REF!,8,FALSE))</f>
        <v/>
      </c>
      <c r="P225" s="6" t="str">
        <f>IF(ISERROR(VLOOKUP($A225,'Plano de Contas'!#REF!,10,FALSE)),"",VLOOKUP($A225,'Plano de Contas'!#REF!,10,FALSE))</f>
        <v/>
      </c>
    </row>
    <row r="226" spans="1:16" x14ac:dyDescent="0.25">
      <c r="A226" t="s">
        <v>398</v>
      </c>
      <c r="B226">
        <v>644</v>
      </c>
      <c r="C226" t="s">
        <v>399</v>
      </c>
      <c r="D226" s="10">
        <v>56456.91</v>
      </c>
      <c r="F226">
        <v>0</v>
      </c>
      <c r="H226">
        <v>0</v>
      </c>
      <c r="J226" s="10">
        <v>56456.91</v>
      </c>
      <c r="L226" s="1">
        <f t="shared" si="3"/>
        <v>56456.91</v>
      </c>
      <c r="N226" s="6" t="str">
        <f>IF(ISERROR(VLOOKUP($A226,'Plano de Contas'!#REF!,8,FALSE)),"",VLOOKUP($A226,'Plano de Contas'!#REF!,8,FALSE))</f>
        <v/>
      </c>
      <c r="P226" s="6" t="str">
        <f>IF(ISERROR(VLOOKUP($A226,'Plano de Contas'!#REF!,10,FALSE)),"",VLOOKUP($A226,'Plano de Contas'!#REF!,10,FALSE))</f>
        <v/>
      </c>
    </row>
    <row r="227" spans="1:16" x14ac:dyDescent="0.25">
      <c r="A227" t="s">
        <v>400</v>
      </c>
      <c r="B227">
        <v>645</v>
      </c>
      <c r="C227" t="s">
        <v>401</v>
      </c>
      <c r="D227" s="10">
        <v>120463.24</v>
      </c>
      <c r="F227">
        <v>0</v>
      </c>
      <c r="H227">
        <v>0</v>
      </c>
      <c r="J227" s="10">
        <v>120463.24</v>
      </c>
      <c r="L227" s="35">
        <f t="shared" si="3"/>
        <v>120463.24</v>
      </c>
      <c r="N227" s="6" t="str">
        <f>IF(ISERROR(VLOOKUP($A227,'Plano de Contas'!#REF!,8,FALSE)),"",VLOOKUP($A227,'Plano de Contas'!#REF!,8,FALSE))</f>
        <v/>
      </c>
      <c r="P227" s="6" t="str">
        <f>IF(ISERROR(VLOOKUP($A227,'Plano de Contas'!#REF!,10,FALSE)),"",VLOOKUP($A227,'Plano de Contas'!#REF!,10,FALSE))</f>
        <v/>
      </c>
    </row>
    <row r="228" spans="1:16" x14ac:dyDescent="0.25">
      <c r="A228" t="s">
        <v>402</v>
      </c>
      <c r="B228">
        <v>646</v>
      </c>
      <c r="C228" t="s">
        <v>403</v>
      </c>
      <c r="D228" s="10">
        <v>71976.259999999995</v>
      </c>
      <c r="F228">
        <v>0</v>
      </c>
      <c r="H228">
        <v>0</v>
      </c>
      <c r="J228" s="10">
        <v>71976.259999999995</v>
      </c>
      <c r="L228" s="1">
        <f t="shared" si="3"/>
        <v>71976.259999999995</v>
      </c>
      <c r="N228" s="6" t="str">
        <f>IF(ISERROR(VLOOKUP($A228,'Plano de Contas'!#REF!,8,FALSE)),"",VLOOKUP($A228,'Plano de Contas'!#REF!,8,FALSE))</f>
        <v/>
      </c>
      <c r="P228" s="6" t="str">
        <f>IF(ISERROR(VLOOKUP($A228,'Plano de Contas'!#REF!,10,FALSE)),"",VLOOKUP($A228,'Plano de Contas'!#REF!,10,FALSE))</f>
        <v/>
      </c>
    </row>
    <row r="229" spans="1:16" x14ac:dyDescent="0.25">
      <c r="A229" t="s">
        <v>404</v>
      </c>
      <c r="B229">
        <v>647</v>
      </c>
      <c r="C229" t="s">
        <v>405</v>
      </c>
      <c r="D229" s="10">
        <v>5400</v>
      </c>
      <c r="F229">
        <v>0</v>
      </c>
      <c r="H229">
        <v>0</v>
      </c>
      <c r="J229" s="10">
        <v>5400</v>
      </c>
      <c r="L229" s="1">
        <f t="shared" si="3"/>
        <v>5400</v>
      </c>
      <c r="N229" s="6" t="str">
        <f>IF(ISERROR(VLOOKUP($A229,'Plano de Contas'!#REF!,8,FALSE)),"",VLOOKUP($A229,'Plano de Contas'!#REF!,8,FALSE))</f>
        <v/>
      </c>
      <c r="P229" s="6" t="str">
        <f>IF(ISERROR(VLOOKUP($A229,'Plano de Contas'!#REF!,10,FALSE)),"",VLOOKUP($A229,'Plano de Contas'!#REF!,10,FALSE))</f>
        <v/>
      </c>
    </row>
    <row r="230" spans="1:16" x14ac:dyDescent="0.25">
      <c r="A230" t="s">
        <v>406</v>
      </c>
      <c r="B230">
        <v>649</v>
      </c>
      <c r="C230" t="s">
        <v>407</v>
      </c>
      <c r="D230" s="10">
        <v>121272.5</v>
      </c>
      <c r="F230">
        <v>0</v>
      </c>
      <c r="H230">
        <v>0</v>
      </c>
      <c r="J230" s="10">
        <v>121272.5</v>
      </c>
      <c r="L230" s="1">
        <f t="shared" si="3"/>
        <v>121272.5</v>
      </c>
      <c r="N230" s="6" t="str">
        <f>IF(ISERROR(VLOOKUP($A230,'Plano de Contas'!#REF!,8,FALSE)),"",VLOOKUP($A230,'Plano de Contas'!#REF!,8,FALSE))</f>
        <v/>
      </c>
      <c r="P230" s="6" t="str">
        <f>IF(ISERROR(VLOOKUP($A230,'Plano de Contas'!#REF!,10,FALSE)),"",VLOOKUP($A230,'Plano de Contas'!#REF!,10,FALSE))</f>
        <v/>
      </c>
    </row>
    <row r="231" spans="1:16" x14ac:dyDescent="0.25">
      <c r="A231" t="s">
        <v>408</v>
      </c>
      <c r="B231">
        <v>650</v>
      </c>
      <c r="C231" t="s">
        <v>409</v>
      </c>
      <c r="D231" s="10">
        <v>39172.18</v>
      </c>
      <c r="F231">
        <v>0</v>
      </c>
      <c r="H231">
        <v>0</v>
      </c>
      <c r="J231" s="10">
        <v>39172.18</v>
      </c>
      <c r="L231" s="1">
        <f t="shared" si="3"/>
        <v>39172.18</v>
      </c>
      <c r="N231" s="6" t="str">
        <f>IF(ISERROR(VLOOKUP($A231,'Plano de Contas'!#REF!,8,FALSE)),"",VLOOKUP($A231,'Plano de Contas'!#REF!,8,FALSE))</f>
        <v/>
      </c>
      <c r="P231" s="6" t="str">
        <f>IF(ISERROR(VLOOKUP($A231,'Plano de Contas'!#REF!,10,FALSE)),"",VLOOKUP($A231,'Plano de Contas'!#REF!,10,FALSE))</f>
        <v/>
      </c>
    </row>
    <row r="232" spans="1:16" x14ac:dyDescent="0.25">
      <c r="A232" t="s">
        <v>410</v>
      </c>
      <c r="B232">
        <v>654</v>
      </c>
      <c r="C232" t="s">
        <v>411</v>
      </c>
      <c r="D232" s="10">
        <v>2623476.1800000002</v>
      </c>
      <c r="F232">
        <v>0</v>
      </c>
      <c r="H232">
        <v>0</v>
      </c>
      <c r="J232" s="10">
        <v>2623476.1800000002</v>
      </c>
      <c r="L232" s="1">
        <f t="shared" si="3"/>
        <v>2623476.1800000002</v>
      </c>
      <c r="N232" s="6" t="str">
        <f>IF(ISERROR(VLOOKUP($A232,'Plano de Contas'!#REF!,8,FALSE)),"",VLOOKUP($A232,'Plano de Contas'!#REF!,8,FALSE))</f>
        <v/>
      </c>
      <c r="P232" s="6" t="str">
        <f>IF(ISERROR(VLOOKUP($A232,'Plano de Contas'!#REF!,10,FALSE)),"",VLOOKUP($A232,'Plano de Contas'!#REF!,10,FALSE))</f>
        <v/>
      </c>
    </row>
    <row r="233" spans="1:16" x14ac:dyDescent="0.25">
      <c r="A233" t="s">
        <v>412</v>
      </c>
      <c r="B233">
        <v>718</v>
      </c>
      <c r="C233" t="s">
        <v>413</v>
      </c>
      <c r="D233" s="10">
        <v>14208618.6</v>
      </c>
      <c r="F233">
        <v>0</v>
      </c>
      <c r="H233">
        <v>0</v>
      </c>
      <c r="J233" s="10">
        <v>14208618.6</v>
      </c>
      <c r="L233" s="1">
        <f t="shared" si="3"/>
        <v>14208618.6</v>
      </c>
      <c r="N233" s="6" t="str">
        <f>IF(ISERROR(VLOOKUP($A233,'Plano de Contas'!#REF!,8,FALSE)),"",VLOOKUP($A233,'Plano de Contas'!#REF!,8,FALSE))</f>
        <v/>
      </c>
      <c r="P233" s="6" t="str">
        <f>IF(ISERROR(VLOOKUP($A233,'Plano de Contas'!#REF!,10,FALSE)),"",VLOOKUP($A233,'Plano de Contas'!#REF!,10,FALSE))</f>
        <v/>
      </c>
    </row>
    <row r="234" spans="1:16" x14ac:dyDescent="0.25">
      <c r="L234" s="1">
        <f t="shared" si="3"/>
        <v>0</v>
      </c>
      <c r="N234" s="6" t="str">
        <f>IF(ISERROR(VLOOKUP($A234,'Plano de Contas'!#REF!,8,FALSE)),"",VLOOKUP($A234,'Plano de Contas'!#REF!,8,FALSE))</f>
        <v/>
      </c>
      <c r="P234" s="6" t="str">
        <f>IF(ISERROR(VLOOKUP($A234,'Plano de Contas'!#REF!,10,FALSE)),"",VLOOKUP($A234,'Plano de Contas'!#REF!,10,FALSE))</f>
        <v/>
      </c>
    </row>
    <row r="235" spans="1:16" x14ac:dyDescent="0.25">
      <c r="A235" t="s">
        <v>414</v>
      </c>
      <c r="B235">
        <v>97</v>
      </c>
      <c r="C235" t="s">
        <v>415</v>
      </c>
      <c r="D235" s="10">
        <v>88729128.129999995</v>
      </c>
      <c r="E235" t="s">
        <v>35</v>
      </c>
      <c r="F235">
        <v>0</v>
      </c>
      <c r="H235" s="10">
        <v>2387070.0499999998</v>
      </c>
      <c r="I235" t="s">
        <v>35</v>
      </c>
      <c r="J235" s="10">
        <v>91116198.180000007</v>
      </c>
      <c r="K235" t="s">
        <v>35</v>
      </c>
      <c r="L235" s="1">
        <f t="shared" si="3"/>
        <v>-91116198.180000007</v>
      </c>
      <c r="N235" s="6" t="str">
        <f>IF(ISERROR(VLOOKUP($A235,'Plano de Contas'!#REF!,8,FALSE)),"",VLOOKUP($A235,'Plano de Contas'!#REF!,8,FALSE))</f>
        <v/>
      </c>
      <c r="P235" s="6" t="str">
        <f>IF(ISERROR(VLOOKUP($A235,'Plano de Contas'!#REF!,10,FALSE)),"",VLOOKUP($A235,'Plano de Contas'!#REF!,10,FALSE))</f>
        <v/>
      </c>
    </row>
    <row r="236" spans="1:16" x14ac:dyDescent="0.25">
      <c r="A236" t="s">
        <v>416</v>
      </c>
      <c r="B236">
        <v>98</v>
      </c>
      <c r="C236" t="s">
        <v>417</v>
      </c>
      <c r="D236" s="10">
        <v>4549186.51</v>
      </c>
      <c r="E236" t="s">
        <v>35</v>
      </c>
      <c r="F236">
        <v>0</v>
      </c>
      <c r="H236" s="10">
        <v>2337.69</v>
      </c>
      <c r="I236" t="s">
        <v>35</v>
      </c>
      <c r="J236" s="10">
        <v>4551524.2</v>
      </c>
      <c r="K236" t="s">
        <v>35</v>
      </c>
      <c r="L236" s="1">
        <f t="shared" si="3"/>
        <v>-4551524.2</v>
      </c>
      <c r="N236" s="6" t="str">
        <f>IF(ISERROR(VLOOKUP($A236,'Plano de Contas'!#REF!,8,FALSE)),"",VLOOKUP($A236,'Plano de Contas'!#REF!,8,FALSE))</f>
        <v/>
      </c>
      <c r="P236" s="6" t="str">
        <f>IF(ISERROR(VLOOKUP($A236,'Plano de Contas'!#REF!,10,FALSE)),"",VLOOKUP($A236,'Plano de Contas'!#REF!,10,FALSE))</f>
        <v/>
      </c>
    </row>
    <row r="237" spans="1:16" x14ac:dyDescent="0.25">
      <c r="A237" t="s">
        <v>418</v>
      </c>
      <c r="B237">
        <v>99</v>
      </c>
      <c r="C237" t="s">
        <v>419</v>
      </c>
      <c r="D237" s="10">
        <v>69002798.5</v>
      </c>
      <c r="E237" t="s">
        <v>35</v>
      </c>
      <c r="F237">
        <v>0</v>
      </c>
      <c r="H237" s="10">
        <v>2331348.44</v>
      </c>
      <c r="I237" t="s">
        <v>35</v>
      </c>
      <c r="J237" s="10">
        <v>71334146.939999998</v>
      </c>
      <c r="K237" t="s">
        <v>35</v>
      </c>
      <c r="L237" s="1">
        <f t="shared" si="3"/>
        <v>-71334146.939999998</v>
      </c>
      <c r="N237" s="6" t="str">
        <f>IF(ISERROR(VLOOKUP($A237,'Plano de Contas'!#REF!,8,FALSE)),"",VLOOKUP($A237,'Plano de Contas'!#REF!,8,FALSE))</f>
        <v/>
      </c>
      <c r="P237" s="6" t="str">
        <f>IF(ISERROR(VLOOKUP($A237,'Plano de Contas'!#REF!,10,FALSE)),"",VLOOKUP($A237,'Plano de Contas'!#REF!,10,FALSE))</f>
        <v/>
      </c>
    </row>
    <row r="238" spans="1:16" x14ac:dyDescent="0.25">
      <c r="A238" t="s">
        <v>420</v>
      </c>
      <c r="B238">
        <v>100</v>
      </c>
      <c r="C238" t="s">
        <v>421</v>
      </c>
      <c r="D238" s="10">
        <v>9312139.2100000009</v>
      </c>
      <c r="E238" t="s">
        <v>35</v>
      </c>
      <c r="F238">
        <v>0</v>
      </c>
      <c r="H238" s="10">
        <v>11888.52</v>
      </c>
      <c r="I238" t="s">
        <v>35</v>
      </c>
      <c r="J238" s="10">
        <v>9324027.7300000004</v>
      </c>
      <c r="K238" t="s">
        <v>35</v>
      </c>
      <c r="L238" s="1">
        <f t="shared" si="3"/>
        <v>-9324027.7300000004</v>
      </c>
      <c r="N238" s="6" t="str">
        <f>IF(ISERROR(VLOOKUP($A238,'Plano de Contas'!#REF!,8,FALSE)),"",VLOOKUP($A238,'Plano de Contas'!#REF!,8,FALSE))</f>
        <v/>
      </c>
      <c r="P238" s="6" t="str">
        <f>IF(ISERROR(VLOOKUP($A238,'Plano de Contas'!#REF!,10,FALSE)),"",VLOOKUP($A238,'Plano de Contas'!#REF!,10,FALSE))</f>
        <v/>
      </c>
    </row>
    <row r="239" spans="1:16" x14ac:dyDescent="0.25">
      <c r="A239" t="s">
        <v>422</v>
      </c>
      <c r="B239">
        <v>101</v>
      </c>
      <c r="C239" t="s">
        <v>423</v>
      </c>
      <c r="D239" s="10">
        <v>782997.94</v>
      </c>
      <c r="E239" t="s">
        <v>35</v>
      </c>
      <c r="F239">
        <v>0</v>
      </c>
      <c r="H239" s="10">
        <v>1306.26</v>
      </c>
      <c r="I239" t="s">
        <v>35</v>
      </c>
      <c r="J239" s="10">
        <v>784304.2</v>
      </c>
      <c r="K239" t="s">
        <v>35</v>
      </c>
      <c r="L239" s="1">
        <f t="shared" si="3"/>
        <v>-784304.2</v>
      </c>
      <c r="N239" s="6" t="str">
        <f>IF(ISERROR(VLOOKUP($A239,'Plano de Contas'!#REF!,8,FALSE)),"",VLOOKUP($A239,'Plano de Contas'!#REF!,8,FALSE))</f>
        <v/>
      </c>
      <c r="P239" s="6" t="str">
        <f>IF(ISERROR(VLOOKUP($A239,'Plano de Contas'!#REF!,10,FALSE)),"",VLOOKUP($A239,'Plano de Contas'!#REF!,10,FALSE))</f>
        <v/>
      </c>
    </row>
    <row r="240" spans="1:16" x14ac:dyDescent="0.25">
      <c r="A240" t="s">
        <v>424</v>
      </c>
      <c r="B240">
        <v>102</v>
      </c>
      <c r="C240" t="s">
        <v>425</v>
      </c>
      <c r="D240" s="10">
        <v>-3346472.95</v>
      </c>
      <c r="F240">
        <v>0</v>
      </c>
      <c r="H240" s="10">
        <v>-29573.24</v>
      </c>
      <c r="J240" s="10">
        <v>-3376046.19</v>
      </c>
      <c r="L240" s="1">
        <f t="shared" si="3"/>
        <v>-3376046.19</v>
      </c>
      <c r="N240" s="6" t="str">
        <f>IF(ISERROR(VLOOKUP($A240,'Plano de Contas'!#REF!,8,FALSE)),"",VLOOKUP($A240,'Plano de Contas'!#REF!,8,FALSE))</f>
        <v/>
      </c>
      <c r="P240" s="6" t="str">
        <f>IF(ISERROR(VLOOKUP($A240,'Plano de Contas'!#REF!,10,FALSE)),"",VLOOKUP($A240,'Plano de Contas'!#REF!,10,FALSE))</f>
        <v/>
      </c>
    </row>
    <row r="241" spans="1:16" x14ac:dyDescent="0.25">
      <c r="A241" t="s">
        <v>426</v>
      </c>
      <c r="B241">
        <v>462</v>
      </c>
      <c r="C241" t="s">
        <v>427</v>
      </c>
      <c r="D241" s="10">
        <v>1524490.31</v>
      </c>
      <c r="E241" t="s">
        <v>35</v>
      </c>
      <c r="F241">
        <v>0</v>
      </c>
      <c r="H241" s="10">
        <v>4410.87</v>
      </c>
      <c r="I241" t="s">
        <v>35</v>
      </c>
      <c r="J241" s="10">
        <v>1528901.18</v>
      </c>
      <c r="K241" t="s">
        <v>35</v>
      </c>
      <c r="L241" s="1">
        <f t="shared" si="3"/>
        <v>-1528901.18</v>
      </c>
      <c r="N241" s="6" t="str">
        <f>IF(ISERROR(VLOOKUP($A241,'Plano de Contas'!#REF!,8,FALSE)),"",VLOOKUP($A241,'Plano de Contas'!#REF!,8,FALSE))</f>
        <v/>
      </c>
      <c r="P241" s="6" t="str">
        <f>IF(ISERROR(VLOOKUP($A241,'Plano de Contas'!#REF!,10,FALSE)),"",VLOOKUP($A241,'Plano de Contas'!#REF!,10,FALSE))</f>
        <v/>
      </c>
    </row>
    <row r="242" spans="1:16" x14ac:dyDescent="0.25">
      <c r="A242" t="s">
        <v>428</v>
      </c>
      <c r="B242">
        <v>465</v>
      </c>
      <c r="C242" t="s">
        <v>429</v>
      </c>
      <c r="D242" s="10">
        <v>-211042.71</v>
      </c>
      <c r="F242">
        <v>0</v>
      </c>
      <c r="H242" s="10">
        <v>-6205.03</v>
      </c>
      <c r="J242" s="10">
        <v>-217247.74</v>
      </c>
      <c r="L242" s="1">
        <f t="shared" si="3"/>
        <v>-217247.74</v>
      </c>
      <c r="N242" s="6" t="str">
        <f>IF(ISERROR(VLOOKUP($A242,'Plano de Contas'!#REF!,8,FALSE)),"",VLOOKUP($A242,'Plano de Contas'!#REF!,8,FALSE))</f>
        <v/>
      </c>
      <c r="P242" s="6" t="str">
        <f>IF(ISERROR(VLOOKUP($A242,'Plano de Contas'!#REF!,10,FALSE)),"",VLOOKUP($A242,'Plano de Contas'!#REF!,10,FALSE))</f>
        <v/>
      </c>
    </row>
    <row r="243" spans="1:16" x14ac:dyDescent="0.25">
      <c r="L243" s="1">
        <f t="shared" si="3"/>
        <v>0</v>
      </c>
      <c r="N243" s="6" t="str">
        <f>IF(ISERROR(VLOOKUP($A243,'Plano de Contas'!#REF!,8,FALSE)),"",VLOOKUP($A243,'Plano de Contas'!#REF!,8,FALSE))</f>
        <v/>
      </c>
      <c r="P243" s="6" t="str">
        <f>IF(ISERROR(VLOOKUP($A243,'Plano de Contas'!#REF!,10,FALSE)),"",VLOOKUP($A243,'Plano de Contas'!#REF!,10,FALSE))</f>
        <v/>
      </c>
    </row>
    <row r="244" spans="1:16" x14ac:dyDescent="0.25">
      <c r="A244" t="s">
        <v>434</v>
      </c>
      <c r="B244">
        <v>103</v>
      </c>
      <c r="C244" t="s">
        <v>415</v>
      </c>
      <c r="D244" s="10">
        <v>25663787.379999999</v>
      </c>
      <c r="E244" t="s">
        <v>35</v>
      </c>
      <c r="F244">
        <v>0</v>
      </c>
      <c r="H244" s="10">
        <v>66682.11</v>
      </c>
      <c r="I244" t="s">
        <v>35</v>
      </c>
      <c r="J244" s="10">
        <v>25730469.489999998</v>
      </c>
      <c r="K244" t="s">
        <v>35</v>
      </c>
      <c r="L244" s="1">
        <f t="shared" si="3"/>
        <v>-25730469.489999998</v>
      </c>
      <c r="N244" s="6" t="str">
        <f>IF(ISERROR(VLOOKUP($A244,'Plano de Contas'!#REF!,8,FALSE)),"",VLOOKUP($A244,'Plano de Contas'!#REF!,8,FALSE))</f>
        <v/>
      </c>
      <c r="P244" s="6" t="str">
        <f>IF(ISERROR(VLOOKUP($A244,'Plano de Contas'!#REF!,10,FALSE)),"",VLOOKUP($A244,'Plano de Contas'!#REF!,10,FALSE))</f>
        <v/>
      </c>
    </row>
    <row r="245" spans="1:16" x14ac:dyDescent="0.25">
      <c r="A245" t="s">
        <v>435</v>
      </c>
      <c r="B245">
        <v>104</v>
      </c>
      <c r="C245" t="s">
        <v>436</v>
      </c>
      <c r="D245" s="10">
        <v>4349420.6500000004</v>
      </c>
      <c r="E245" t="s">
        <v>35</v>
      </c>
      <c r="F245">
        <v>0</v>
      </c>
      <c r="H245" s="10">
        <v>8862.23</v>
      </c>
      <c r="I245" t="s">
        <v>35</v>
      </c>
      <c r="J245" s="10">
        <v>4358282.88</v>
      </c>
      <c r="K245" t="s">
        <v>35</v>
      </c>
      <c r="L245" s="1">
        <f t="shared" si="3"/>
        <v>-4358282.88</v>
      </c>
      <c r="N245" s="6" t="str">
        <f>IF(ISERROR(VLOOKUP($A245,'Plano de Contas'!#REF!,8,FALSE)),"",VLOOKUP($A245,'Plano de Contas'!#REF!,8,FALSE))</f>
        <v/>
      </c>
      <c r="P245" s="6" t="str">
        <f>IF(ISERROR(VLOOKUP($A245,'Plano de Contas'!#REF!,10,FALSE)),"",VLOOKUP($A245,'Plano de Contas'!#REF!,10,FALSE))</f>
        <v/>
      </c>
    </row>
    <row r="246" spans="1:16" x14ac:dyDescent="0.25">
      <c r="A246" t="s">
        <v>437</v>
      </c>
      <c r="B246">
        <v>105</v>
      </c>
      <c r="C246" t="s">
        <v>438</v>
      </c>
      <c r="D246" s="10">
        <v>20764150.379999999</v>
      </c>
      <c r="E246" t="s">
        <v>35</v>
      </c>
      <c r="F246">
        <v>0</v>
      </c>
      <c r="H246" s="10">
        <v>57573.03</v>
      </c>
      <c r="I246" t="s">
        <v>35</v>
      </c>
      <c r="J246" s="10">
        <v>20821723.41</v>
      </c>
      <c r="K246" t="s">
        <v>35</v>
      </c>
      <c r="L246" s="1">
        <f t="shared" si="3"/>
        <v>-20821723.41</v>
      </c>
      <c r="N246" s="6" t="str">
        <f>IF(ISERROR(VLOOKUP($A246,'Plano de Contas'!#REF!,8,FALSE)),"",VLOOKUP($A246,'Plano de Contas'!#REF!,8,FALSE))</f>
        <v/>
      </c>
      <c r="P246" s="6" t="str">
        <f>IF(ISERROR(VLOOKUP($A246,'Plano de Contas'!#REF!,10,FALSE)),"",VLOOKUP($A246,'Plano de Contas'!#REF!,10,FALSE))</f>
        <v/>
      </c>
    </row>
    <row r="247" spans="1:16" x14ac:dyDescent="0.25">
      <c r="A247" t="s">
        <v>439</v>
      </c>
      <c r="B247">
        <v>106</v>
      </c>
      <c r="C247" t="s">
        <v>440</v>
      </c>
      <c r="D247" s="10">
        <v>131809.38</v>
      </c>
      <c r="E247" t="s">
        <v>35</v>
      </c>
      <c r="F247">
        <v>0</v>
      </c>
      <c r="H247">
        <v>0</v>
      </c>
      <c r="J247" s="10">
        <v>131809.38</v>
      </c>
      <c r="K247" t="s">
        <v>35</v>
      </c>
      <c r="L247" s="35">
        <f t="shared" si="3"/>
        <v>-131809.38</v>
      </c>
      <c r="N247" s="6" t="str">
        <f>IF(ISERROR(VLOOKUP($A247,'Plano de Contas'!#REF!,8,FALSE)),"",VLOOKUP($A247,'Plano de Contas'!#REF!,8,FALSE))</f>
        <v/>
      </c>
      <c r="P247" s="6" t="str">
        <f>IF(ISERROR(VLOOKUP($A247,'Plano de Contas'!#REF!,10,FALSE)),"",VLOOKUP($A247,'Plano de Contas'!#REF!,10,FALSE))</f>
        <v/>
      </c>
    </row>
    <row r="248" spans="1:16" x14ac:dyDescent="0.25">
      <c r="A248" t="s">
        <v>441</v>
      </c>
      <c r="B248">
        <v>107</v>
      </c>
      <c r="C248" t="s">
        <v>442</v>
      </c>
      <c r="D248" s="10">
        <v>-131123.26999999999</v>
      </c>
      <c r="F248">
        <v>0</v>
      </c>
      <c r="H248">
        <v>0</v>
      </c>
      <c r="J248" s="10">
        <v>-131123.26999999999</v>
      </c>
      <c r="L248" s="1">
        <f t="shared" si="3"/>
        <v>-131123.26999999999</v>
      </c>
      <c r="N248" s="6" t="str">
        <f>IF(ISERROR(VLOOKUP($A248,'Plano de Contas'!#REF!,8,FALSE)),"",VLOOKUP($A248,'Plano de Contas'!#REF!,8,FALSE))</f>
        <v/>
      </c>
      <c r="P248" s="6" t="str">
        <f>IF(ISERROR(VLOOKUP($A248,'Plano de Contas'!#REF!,10,FALSE)),"",VLOOKUP($A248,'Plano de Contas'!#REF!,10,FALSE))</f>
        <v/>
      </c>
    </row>
    <row r="249" spans="1:16" x14ac:dyDescent="0.25">
      <c r="A249" t="s">
        <v>443</v>
      </c>
      <c r="B249">
        <v>108</v>
      </c>
      <c r="C249" t="s">
        <v>444</v>
      </c>
      <c r="D249" s="10">
        <v>264529.94</v>
      </c>
      <c r="E249" t="s">
        <v>35</v>
      </c>
      <c r="F249">
        <v>0</v>
      </c>
      <c r="H249">
        <v>0</v>
      </c>
      <c r="J249" s="10">
        <v>264529.94</v>
      </c>
      <c r="K249" t="s">
        <v>35</v>
      </c>
      <c r="L249" s="1">
        <f t="shared" si="3"/>
        <v>-264529.94</v>
      </c>
      <c r="N249" s="6" t="str">
        <f>IF(ISERROR(VLOOKUP($A249,'Plano de Contas'!#REF!,8,FALSE)),"",VLOOKUP($A249,'Plano de Contas'!#REF!,8,FALSE))</f>
        <v/>
      </c>
      <c r="P249" s="6" t="str">
        <f>IF(ISERROR(VLOOKUP($A249,'Plano de Contas'!#REF!,10,FALSE)),"",VLOOKUP($A249,'Plano de Contas'!#REF!,10,FALSE))</f>
        <v/>
      </c>
    </row>
    <row r="250" spans="1:16" x14ac:dyDescent="0.25">
      <c r="A250" t="s">
        <v>445</v>
      </c>
      <c r="B250">
        <v>463</v>
      </c>
      <c r="C250" t="s">
        <v>446</v>
      </c>
      <c r="D250" s="10">
        <v>22753.759999999998</v>
      </c>
      <c r="E250" t="s">
        <v>35</v>
      </c>
      <c r="F250">
        <v>0</v>
      </c>
      <c r="H250">
        <v>246.85</v>
      </c>
      <c r="I250" t="s">
        <v>35</v>
      </c>
      <c r="J250" s="10">
        <v>23000.61</v>
      </c>
      <c r="K250" t="s">
        <v>35</v>
      </c>
      <c r="L250" s="35">
        <f t="shared" si="3"/>
        <v>-23000.61</v>
      </c>
      <c r="N250" s="6" t="str">
        <f>IF(ISERROR(VLOOKUP($A250,'Plano de Contas'!#REF!,8,FALSE)),"",VLOOKUP($A250,'Plano de Contas'!#REF!,8,FALSE))</f>
        <v/>
      </c>
      <c r="P250" s="6" t="str">
        <f>IF(ISERROR(VLOOKUP($A250,'Plano de Contas'!#REF!,10,FALSE)),"",VLOOKUP($A250,'Plano de Contas'!#REF!,10,FALSE))</f>
        <v/>
      </c>
    </row>
    <row r="251" spans="1:16" x14ac:dyDescent="0.25">
      <c r="L251" s="35">
        <f t="shared" si="3"/>
        <v>0</v>
      </c>
      <c r="N251" s="6" t="str">
        <f>IF(ISERROR(VLOOKUP($A251,'Plano de Contas'!#REF!,8,FALSE)),"",VLOOKUP($A251,'Plano de Contas'!#REF!,8,FALSE))</f>
        <v/>
      </c>
      <c r="P251" s="6" t="str">
        <f>IF(ISERROR(VLOOKUP($A251,'Plano de Contas'!#REF!,10,FALSE)),"",VLOOKUP($A251,'Plano de Contas'!#REF!,10,FALSE))</f>
        <v/>
      </c>
    </row>
    <row r="252" spans="1:16" x14ac:dyDescent="0.25">
      <c r="A252" t="s">
        <v>447</v>
      </c>
      <c r="B252">
        <v>784</v>
      </c>
      <c r="C252" t="s">
        <v>448</v>
      </c>
      <c r="D252" s="10">
        <v>26594188.52</v>
      </c>
      <c r="F252">
        <v>0</v>
      </c>
      <c r="H252" s="10">
        <v>63170.34</v>
      </c>
      <c r="I252" t="s">
        <v>35</v>
      </c>
      <c r="J252" s="10">
        <v>26531018.18</v>
      </c>
      <c r="L252" s="1">
        <f t="shared" si="3"/>
        <v>26531018.18</v>
      </c>
      <c r="N252" s="6" t="str">
        <f>IF(ISERROR(VLOOKUP($A252,'Plano de Contas'!#REF!,8,FALSE)),"",VLOOKUP($A252,'Plano de Contas'!#REF!,8,FALSE))</f>
        <v/>
      </c>
      <c r="P252" s="6" t="str">
        <f>IF(ISERROR(VLOOKUP($A252,'Plano de Contas'!#REF!,10,FALSE)),"",VLOOKUP($A252,'Plano de Contas'!#REF!,10,FALSE))</f>
        <v/>
      </c>
    </row>
    <row r="253" spans="1:16" x14ac:dyDescent="0.25">
      <c r="L253" s="1">
        <f t="shared" si="3"/>
        <v>0</v>
      </c>
      <c r="N253" s="6" t="str">
        <f>IF(ISERROR(VLOOKUP($A253,'Plano de Contas'!#REF!,8,FALSE)),"",VLOOKUP($A253,'Plano de Contas'!#REF!,8,FALSE))</f>
        <v/>
      </c>
      <c r="P253" s="6" t="str">
        <f>IF(ISERROR(VLOOKUP($A253,'Plano de Contas'!#REF!,10,FALSE)),"",VLOOKUP($A253,'Plano de Contas'!#REF!,10,FALSE))</f>
        <v/>
      </c>
    </row>
    <row r="254" spans="1:16" x14ac:dyDescent="0.25">
      <c r="A254" t="s">
        <v>449</v>
      </c>
      <c r="B254">
        <v>785</v>
      </c>
      <c r="C254" t="s">
        <v>450</v>
      </c>
      <c r="D254" s="10">
        <v>27231458.09</v>
      </c>
      <c r="F254">
        <v>0</v>
      </c>
      <c r="H254" s="10">
        <v>34000</v>
      </c>
      <c r="I254" t="s">
        <v>35</v>
      </c>
      <c r="J254" s="10">
        <v>27197458.09</v>
      </c>
      <c r="L254" s="35">
        <f t="shared" si="3"/>
        <v>27197458.09</v>
      </c>
      <c r="N254" s="6" t="str">
        <f>IF(ISERROR(VLOOKUP($A254,'Plano de Contas'!#REF!,8,FALSE)),"",VLOOKUP($A254,'Plano de Contas'!#REF!,8,FALSE))</f>
        <v/>
      </c>
      <c r="P254" s="6" t="str">
        <f>IF(ISERROR(VLOOKUP($A254,'Plano de Contas'!#REF!,10,FALSE)),"",VLOOKUP($A254,'Plano de Contas'!#REF!,10,FALSE))</f>
        <v/>
      </c>
    </row>
    <row r="255" spans="1:16" x14ac:dyDescent="0.25">
      <c r="A255" t="s">
        <v>451</v>
      </c>
      <c r="B255">
        <v>786</v>
      </c>
      <c r="C255" t="s">
        <v>452</v>
      </c>
      <c r="D255" s="10">
        <v>615000</v>
      </c>
      <c r="F255">
        <v>0</v>
      </c>
      <c r="H255">
        <v>0</v>
      </c>
      <c r="J255" s="10">
        <v>615000</v>
      </c>
      <c r="L255" s="35">
        <f t="shared" si="3"/>
        <v>615000</v>
      </c>
      <c r="N255" s="6" t="str">
        <f>IF(ISERROR(VLOOKUP($A255,'Plano de Contas'!#REF!,8,FALSE)),"",VLOOKUP($A255,'Plano de Contas'!#REF!,8,FALSE))</f>
        <v/>
      </c>
      <c r="P255" s="6" t="str">
        <f>IF(ISERROR(VLOOKUP($A255,'Plano de Contas'!#REF!,10,FALSE)),"",VLOOKUP($A255,'Plano de Contas'!#REF!,10,FALSE))</f>
        <v/>
      </c>
    </row>
    <row r="256" spans="1:16" x14ac:dyDescent="0.25">
      <c r="A256" t="s">
        <v>453</v>
      </c>
      <c r="B256">
        <v>830</v>
      </c>
      <c r="C256" t="s">
        <v>454</v>
      </c>
      <c r="D256" s="10">
        <v>142710.35</v>
      </c>
      <c r="F256">
        <v>0</v>
      </c>
      <c r="H256">
        <v>0</v>
      </c>
      <c r="J256" s="10">
        <v>142710.35</v>
      </c>
      <c r="L256" s="1">
        <f t="shared" si="3"/>
        <v>142710.35</v>
      </c>
      <c r="N256" s="6" t="str">
        <f>IF(ISERROR(VLOOKUP($A256,'Plano de Contas'!#REF!,8,FALSE)),"",VLOOKUP($A256,'Plano de Contas'!#REF!,8,FALSE))</f>
        <v/>
      </c>
      <c r="P256" s="6" t="str">
        <f>IF(ISERROR(VLOOKUP($A256,'Plano de Contas'!#REF!,10,FALSE)),"",VLOOKUP($A256,'Plano de Contas'!#REF!,10,FALSE))</f>
        <v/>
      </c>
    </row>
    <row r="257" spans="1:16" x14ac:dyDescent="0.25">
      <c r="A257" t="s">
        <v>455</v>
      </c>
      <c r="B257">
        <v>831</v>
      </c>
      <c r="C257" t="s">
        <v>456</v>
      </c>
      <c r="D257" s="10">
        <v>142040.47</v>
      </c>
      <c r="F257">
        <v>0</v>
      </c>
      <c r="H257">
        <v>0</v>
      </c>
      <c r="J257" s="10">
        <v>142040.47</v>
      </c>
      <c r="L257" s="1">
        <f t="shared" si="3"/>
        <v>142040.47</v>
      </c>
      <c r="N257" s="6" t="str">
        <f>IF(ISERROR(VLOOKUP($A257,'Plano de Contas'!#REF!,8,FALSE)),"",VLOOKUP($A257,'Plano de Contas'!#REF!,8,FALSE))</f>
        <v/>
      </c>
      <c r="P257" s="6" t="str">
        <f>IF(ISERROR(VLOOKUP($A257,'Plano de Contas'!#REF!,10,FALSE)),"",VLOOKUP($A257,'Plano de Contas'!#REF!,10,FALSE))</f>
        <v/>
      </c>
    </row>
    <row r="258" spans="1:16" x14ac:dyDescent="0.25">
      <c r="A258" t="s">
        <v>457</v>
      </c>
      <c r="B258">
        <v>866</v>
      </c>
      <c r="C258" t="s">
        <v>458</v>
      </c>
      <c r="D258" s="10">
        <v>1787658.7</v>
      </c>
      <c r="F258">
        <v>0</v>
      </c>
      <c r="H258">
        <v>0</v>
      </c>
      <c r="J258" s="10">
        <v>1787658.7</v>
      </c>
      <c r="L258" s="1">
        <f t="shared" si="3"/>
        <v>1787658.7</v>
      </c>
      <c r="N258" s="6" t="str">
        <f>IF(ISERROR(VLOOKUP($A258,'Plano de Contas'!#REF!,8,FALSE)),"",VLOOKUP($A258,'Plano de Contas'!#REF!,8,FALSE))</f>
        <v/>
      </c>
      <c r="P258" s="6" t="str">
        <f>IF(ISERROR(VLOOKUP($A258,'Plano de Contas'!#REF!,10,FALSE)),"",VLOOKUP($A258,'Plano de Contas'!#REF!,10,FALSE))</f>
        <v/>
      </c>
    </row>
    <row r="259" spans="1:16" x14ac:dyDescent="0.25">
      <c r="A259" t="s">
        <v>459</v>
      </c>
      <c r="B259">
        <v>867</v>
      </c>
      <c r="C259" t="s">
        <v>460</v>
      </c>
      <c r="D259" s="10">
        <v>1905455.56</v>
      </c>
      <c r="F259">
        <v>0</v>
      </c>
      <c r="H259">
        <v>0</v>
      </c>
      <c r="J259" s="10">
        <v>1905455.56</v>
      </c>
      <c r="L259" s="1">
        <f t="shared" si="3"/>
        <v>1905455.56</v>
      </c>
      <c r="N259" s="6" t="str">
        <f>IF(ISERROR(VLOOKUP($A259,'Plano de Contas'!#REF!,8,FALSE)),"",VLOOKUP($A259,'Plano de Contas'!#REF!,8,FALSE))</f>
        <v/>
      </c>
      <c r="P259" s="6" t="str">
        <f>IF(ISERROR(VLOOKUP($A259,'Plano de Contas'!#REF!,10,FALSE)),"",VLOOKUP($A259,'Plano de Contas'!#REF!,10,FALSE))</f>
        <v/>
      </c>
    </row>
    <row r="260" spans="1:16" x14ac:dyDescent="0.25">
      <c r="A260" t="s">
        <v>461</v>
      </c>
      <c r="B260">
        <v>868</v>
      </c>
      <c r="C260" t="s">
        <v>462</v>
      </c>
      <c r="D260">
        <v>643.07000000000005</v>
      </c>
      <c r="F260">
        <v>0</v>
      </c>
      <c r="H260">
        <v>0</v>
      </c>
      <c r="J260">
        <v>643.07000000000005</v>
      </c>
      <c r="L260" s="1">
        <f t="shared" si="3"/>
        <v>643.07000000000005</v>
      </c>
      <c r="N260" s="6" t="str">
        <f>IF(ISERROR(VLOOKUP($A260,'Plano de Contas'!#REF!,8,FALSE)),"",VLOOKUP($A260,'Plano de Contas'!#REF!,8,FALSE))</f>
        <v/>
      </c>
      <c r="P260" s="6" t="str">
        <f>IF(ISERROR(VLOOKUP($A260,'Plano de Contas'!#REF!,10,FALSE)),"",VLOOKUP($A260,'Plano de Contas'!#REF!,10,FALSE))</f>
        <v/>
      </c>
    </row>
    <row r="261" spans="1:16" x14ac:dyDescent="0.25">
      <c r="A261" t="s">
        <v>463</v>
      </c>
      <c r="B261">
        <v>869</v>
      </c>
      <c r="C261" t="s">
        <v>464</v>
      </c>
      <c r="D261" s="10">
        <v>50864.08</v>
      </c>
      <c r="F261">
        <v>0</v>
      </c>
      <c r="H261">
        <v>0</v>
      </c>
      <c r="J261" s="10">
        <v>50864.08</v>
      </c>
      <c r="L261" s="1">
        <f t="shared" si="3"/>
        <v>50864.08</v>
      </c>
      <c r="N261" s="6" t="str">
        <f>IF(ISERROR(VLOOKUP($A261,'Plano de Contas'!#REF!,8,FALSE)),"",VLOOKUP($A261,'Plano de Contas'!#REF!,8,FALSE))</f>
        <v/>
      </c>
      <c r="P261" s="6" t="str">
        <f>IF(ISERROR(VLOOKUP($A261,'Plano de Contas'!#REF!,10,FALSE)),"",VLOOKUP($A261,'Plano de Contas'!#REF!,10,FALSE))</f>
        <v/>
      </c>
    </row>
    <row r="262" spans="1:16" x14ac:dyDescent="0.25">
      <c r="A262" t="s">
        <v>465</v>
      </c>
      <c r="B262">
        <v>870</v>
      </c>
      <c r="C262" t="s">
        <v>466</v>
      </c>
      <c r="D262" s="10">
        <v>1244022.53</v>
      </c>
      <c r="F262">
        <v>0</v>
      </c>
      <c r="H262">
        <v>0</v>
      </c>
      <c r="J262" s="10">
        <v>1244022.53</v>
      </c>
      <c r="L262" s="1">
        <f t="shared" si="3"/>
        <v>1244022.53</v>
      </c>
      <c r="N262" s="6" t="str">
        <f>IF(ISERROR(VLOOKUP($A262,'Plano de Contas'!#REF!,8,FALSE)),"",VLOOKUP($A262,'Plano de Contas'!#REF!,8,FALSE))</f>
        <v/>
      </c>
      <c r="P262" s="6" t="str">
        <f>IF(ISERROR(VLOOKUP($A262,'Plano de Contas'!#REF!,10,FALSE)),"",VLOOKUP($A262,'Plano de Contas'!#REF!,10,FALSE))</f>
        <v/>
      </c>
    </row>
    <row r="263" spans="1:16" x14ac:dyDescent="0.25">
      <c r="A263" t="s">
        <v>467</v>
      </c>
      <c r="B263">
        <v>871</v>
      </c>
      <c r="C263" t="s">
        <v>468</v>
      </c>
      <c r="D263" s="10">
        <v>700000</v>
      </c>
      <c r="F263">
        <v>0</v>
      </c>
      <c r="H263">
        <v>0</v>
      </c>
      <c r="J263" s="10">
        <v>700000</v>
      </c>
      <c r="L263" s="1">
        <f t="shared" si="3"/>
        <v>700000</v>
      </c>
      <c r="N263" s="6" t="str">
        <f>IF(ISERROR(VLOOKUP($A263,'Plano de Contas'!#REF!,8,FALSE)),"",VLOOKUP($A263,'Plano de Contas'!#REF!,8,FALSE))</f>
        <v/>
      </c>
      <c r="P263" s="6" t="str">
        <f>IF(ISERROR(VLOOKUP($A263,'Plano de Contas'!#REF!,10,FALSE)),"",VLOOKUP($A263,'Plano de Contas'!#REF!,10,FALSE))</f>
        <v/>
      </c>
    </row>
    <row r="264" spans="1:16" x14ac:dyDescent="0.25">
      <c r="A264" t="s">
        <v>469</v>
      </c>
      <c r="B264">
        <v>872</v>
      </c>
      <c r="C264" t="s">
        <v>470</v>
      </c>
      <c r="D264" s="10">
        <v>149771.41</v>
      </c>
      <c r="F264">
        <v>0</v>
      </c>
      <c r="H264">
        <v>0</v>
      </c>
      <c r="J264" s="10">
        <v>149771.41</v>
      </c>
      <c r="L264" s="1">
        <f t="shared" ref="L264:L327" si="4">IF(K264="-",-J264,J264)</f>
        <v>149771.41</v>
      </c>
      <c r="N264" s="6" t="str">
        <f>IF(ISERROR(VLOOKUP($A264,'Plano de Contas'!#REF!,8,FALSE)),"",VLOOKUP($A264,'Plano de Contas'!#REF!,8,FALSE))</f>
        <v/>
      </c>
      <c r="P264" s="6" t="str">
        <f>IF(ISERROR(VLOOKUP($A264,'Plano de Contas'!#REF!,10,FALSE)),"",VLOOKUP($A264,'Plano de Contas'!#REF!,10,FALSE))</f>
        <v/>
      </c>
    </row>
    <row r="265" spans="1:16" x14ac:dyDescent="0.25">
      <c r="A265" t="s">
        <v>471</v>
      </c>
      <c r="B265">
        <v>873</v>
      </c>
      <c r="C265" t="s">
        <v>472</v>
      </c>
      <c r="D265" s="10">
        <v>112895.46</v>
      </c>
      <c r="F265">
        <v>0</v>
      </c>
      <c r="H265">
        <v>0</v>
      </c>
      <c r="J265" s="10">
        <v>112895.46</v>
      </c>
      <c r="L265" s="1">
        <f t="shared" si="4"/>
        <v>112895.46</v>
      </c>
      <c r="N265" s="6" t="str">
        <f>IF(ISERROR(VLOOKUP($A265,'Plano de Contas'!#REF!,8,FALSE)),"",VLOOKUP($A265,'Plano de Contas'!#REF!,8,FALSE))</f>
        <v/>
      </c>
      <c r="P265" s="6" t="str">
        <f>IF(ISERROR(VLOOKUP($A265,'Plano de Contas'!#REF!,10,FALSE)),"",VLOOKUP($A265,'Plano de Contas'!#REF!,10,FALSE))</f>
        <v/>
      </c>
    </row>
    <row r="266" spans="1:16" x14ac:dyDescent="0.25">
      <c r="A266" t="s">
        <v>473</v>
      </c>
      <c r="B266">
        <v>874</v>
      </c>
      <c r="C266" t="s">
        <v>474</v>
      </c>
      <c r="D266" s="10">
        <v>278420.59000000003</v>
      </c>
      <c r="F266">
        <v>0</v>
      </c>
      <c r="H266">
        <v>0</v>
      </c>
      <c r="J266" s="10">
        <v>278420.59000000003</v>
      </c>
      <c r="L266" s="1">
        <f t="shared" si="4"/>
        <v>278420.59000000003</v>
      </c>
      <c r="N266" s="6" t="str">
        <f>IF(ISERROR(VLOOKUP($A266,'Plano de Contas'!#REF!,8,FALSE)),"",VLOOKUP($A266,'Plano de Contas'!#REF!,8,FALSE))</f>
        <v/>
      </c>
      <c r="P266" s="6" t="str">
        <f>IF(ISERROR(VLOOKUP($A266,'Plano de Contas'!#REF!,10,FALSE)),"",VLOOKUP($A266,'Plano de Contas'!#REF!,10,FALSE))</f>
        <v/>
      </c>
    </row>
    <row r="267" spans="1:16" x14ac:dyDescent="0.25">
      <c r="A267" t="s">
        <v>475</v>
      </c>
      <c r="B267">
        <v>875</v>
      </c>
      <c r="C267" t="s">
        <v>476</v>
      </c>
      <c r="D267" s="10">
        <v>1474107.52</v>
      </c>
      <c r="F267">
        <v>0</v>
      </c>
      <c r="H267">
        <v>0</v>
      </c>
      <c r="J267" s="10">
        <v>1474107.52</v>
      </c>
      <c r="L267" s="1">
        <f t="shared" si="4"/>
        <v>1474107.52</v>
      </c>
      <c r="N267" s="6" t="str">
        <f>IF(ISERROR(VLOOKUP($A267,'Plano de Contas'!#REF!,8,FALSE)),"",VLOOKUP($A267,'Plano de Contas'!#REF!,8,FALSE))</f>
        <v/>
      </c>
      <c r="P267" s="6" t="str">
        <f>IF(ISERROR(VLOOKUP($A267,'Plano de Contas'!#REF!,10,FALSE)),"",VLOOKUP($A267,'Plano de Contas'!#REF!,10,FALSE))</f>
        <v/>
      </c>
    </row>
    <row r="268" spans="1:16" x14ac:dyDescent="0.25">
      <c r="A268" t="s">
        <v>477</v>
      </c>
      <c r="B268">
        <v>878</v>
      </c>
      <c r="C268" t="s">
        <v>478</v>
      </c>
      <c r="D268" s="10">
        <v>4372500.72</v>
      </c>
      <c r="F268">
        <v>0</v>
      </c>
      <c r="H268" s="10">
        <v>34000</v>
      </c>
      <c r="I268" t="s">
        <v>35</v>
      </c>
      <c r="J268" s="10">
        <v>4338500.72</v>
      </c>
      <c r="L268" s="1">
        <f t="shared" si="4"/>
        <v>4338500.72</v>
      </c>
      <c r="N268" s="6" t="str">
        <f>IF(ISERROR(VLOOKUP($A268,'Plano de Contas'!#REF!,8,FALSE)),"",VLOOKUP($A268,'Plano de Contas'!#REF!,8,FALSE))</f>
        <v/>
      </c>
      <c r="P268" s="6" t="str">
        <f>IF(ISERROR(VLOOKUP($A268,'Plano de Contas'!#REF!,10,FALSE)),"",VLOOKUP($A268,'Plano de Contas'!#REF!,10,FALSE))</f>
        <v/>
      </c>
    </row>
    <row r="269" spans="1:16" x14ac:dyDescent="0.25">
      <c r="A269" t="s">
        <v>479</v>
      </c>
      <c r="B269">
        <v>903</v>
      </c>
      <c r="C269" t="s">
        <v>480</v>
      </c>
      <c r="D269" s="10">
        <v>67744.5</v>
      </c>
      <c r="F269">
        <v>0</v>
      </c>
      <c r="H269">
        <v>0</v>
      </c>
      <c r="J269" s="10">
        <v>67744.5</v>
      </c>
      <c r="L269" s="1">
        <f t="shared" si="4"/>
        <v>67744.5</v>
      </c>
      <c r="N269" s="6" t="str">
        <f>IF(ISERROR(VLOOKUP($A269,'Plano de Contas'!#REF!,8,FALSE)),"",VLOOKUP($A269,'Plano de Contas'!#REF!,8,FALSE))</f>
        <v/>
      </c>
      <c r="P269" s="6" t="str">
        <f>IF(ISERROR(VLOOKUP($A269,'Plano de Contas'!#REF!,10,FALSE)),"",VLOOKUP($A269,'Plano de Contas'!#REF!,10,FALSE))</f>
        <v/>
      </c>
    </row>
    <row r="270" spans="1:16" x14ac:dyDescent="0.25">
      <c r="A270" t="s">
        <v>481</v>
      </c>
      <c r="B270">
        <v>913</v>
      </c>
      <c r="C270" t="s">
        <v>482</v>
      </c>
      <c r="D270" s="10">
        <v>14187623.130000001</v>
      </c>
      <c r="F270">
        <v>0</v>
      </c>
      <c r="H270">
        <v>0</v>
      </c>
      <c r="J270" s="10">
        <v>14187623.130000001</v>
      </c>
      <c r="L270" s="1">
        <f t="shared" si="4"/>
        <v>14187623.130000001</v>
      </c>
      <c r="N270" s="6" t="str">
        <f>IF(ISERROR(VLOOKUP($A270,'Plano de Contas'!#REF!,8,FALSE)),"",VLOOKUP($A270,'Plano de Contas'!#REF!,8,FALSE))</f>
        <v/>
      </c>
      <c r="P270" s="6" t="str">
        <f>IF(ISERROR(VLOOKUP($A270,'Plano de Contas'!#REF!,10,FALSE)),"",VLOOKUP($A270,'Plano de Contas'!#REF!,10,FALSE))</f>
        <v/>
      </c>
    </row>
    <row r="271" spans="1:16" x14ac:dyDescent="0.25">
      <c r="L271" s="1">
        <f t="shared" si="4"/>
        <v>0</v>
      </c>
      <c r="N271" s="6" t="str">
        <f>IF(ISERROR(VLOOKUP($A271,'Plano de Contas'!#REF!,8,FALSE)),"",VLOOKUP($A271,'Plano de Contas'!#REF!,8,FALSE))</f>
        <v/>
      </c>
      <c r="P271" s="6" t="str">
        <f>IF(ISERROR(VLOOKUP($A271,'Plano de Contas'!#REF!,10,FALSE)),"",VLOOKUP($A271,'Plano de Contas'!#REF!,10,FALSE))</f>
        <v/>
      </c>
    </row>
    <row r="272" spans="1:16" x14ac:dyDescent="0.25">
      <c r="A272" t="s">
        <v>489</v>
      </c>
      <c r="B272">
        <v>876</v>
      </c>
      <c r="C272" t="s">
        <v>490</v>
      </c>
      <c r="D272" s="10">
        <v>639142</v>
      </c>
      <c r="E272" t="s">
        <v>35</v>
      </c>
      <c r="F272">
        <v>0</v>
      </c>
      <c r="H272" s="10">
        <v>29170.34</v>
      </c>
      <c r="I272" t="s">
        <v>35</v>
      </c>
      <c r="J272" s="10">
        <v>668312.34</v>
      </c>
      <c r="K272" t="s">
        <v>35</v>
      </c>
      <c r="L272" s="1">
        <f t="shared" si="4"/>
        <v>-668312.34</v>
      </c>
      <c r="N272" s="6" t="str">
        <f>IF(ISERROR(VLOOKUP($A272,'Plano de Contas'!#REF!,8,FALSE)),"",VLOOKUP($A272,'Plano de Contas'!#REF!,8,FALSE))</f>
        <v/>
      </c>
      <c r="P272" s="6" t="str">
        <f>IF(ISERROR(VLOOKUP($A272,'Plano de Contas'!#REF!,10,FALSE)),"",VLOOKUP($A272,'Plano de Contas'!#REF!,10,FALSE))</f>
        <v/>
      </c>
    </row>
    <row r="273" spans="1:16" x14ac:dyDescent="0.25">
      <c r="A273" t="s">
        <v>491</v>
      </c>
      <c r="B273">
        <v>889</v>
      </c>
      <c r="C273" t="s">
        <v>492</v>
      </c>
      <c r="D273" s="10">
        <v>-315819.76</v>
      </c>
      <c r="F273">
        <v>0</v>
      </c>
      <c r="H273" s="10">
        <v>-14897.16</v>
      </c>
      <c r="J273" s="10">
        <v>-330716.92</v>
      </c>
      <c r="L273" s="1">
        <f t="shared" si="4"/>
        <v>-330716.92</v>
      </c>
      <c r="N273" s="6" t="str">
        <f>IF(ISERROR(VLOOKUP($A273,'Plano de Contas'!#REF!,8,FALSE)),"",VLOOKUP($A273,'Plano de Contas'!#REF!,8,FALSE))</f>
        <v/>
      </c>
      <c r="P273" s="6" t="str">
        <f>IF(ISERROR(VLOOKUP($A273,'Plano de Contas'!#REF!,10,FALSE)),"",VLOOKUP($A273,'Plano de Contas'!#REF!,10,FALSE))</f>
        <v/>
      </c>
    </row>
    <row r="274" spans="1:16" x14ac:dyDescent="0.25">
      <c r="A274" t="s">
        <v>493</v>
      </c>
      <c r="B274">
        <v>890</v>
      </c>
      <c r="C274" t="s">
        <v>494</v>
      </c>
      <c r="D274" s="10">
        <v>279183.03999999998</v>
      </c>
      <c r="E274" t="s">
        <v>35</v>
      </c>
      <c r="F274">
        <v>0</v>
      </c>
      <c r="H274" s="10">
        <v>14273.18</v>
      </c>
      <c r="I274" t="s">
        <v>35</v>
      </c>
      <c r="J274" s="10">
        <v>293456.21999999997</v>
      </c>
      <c r="K274" t="s">
        <v>35</v>
      </c>
      <c r="L274" s="1">
        <f t="shared" si="4"/>
        <v>-293456.21999999997</v>
      </c>
      <c r="N274" s="6" t="str">
        <f>IF(ISERROR(VLOOKUP($A274,'Plano de Contas'!#REF!,8,FALSE)),"",VLOOKUP($A274,'Plano de Contas'!#REF!,8,FALSE))</f>
        <v/>
      </c>
      <c r="P274" s="6" t="str">
        <f>IF(ISERROR(VLOOKUP($A274,'Plano de Contas'!#REF!,10,FALSE)),"",VLOOKUP($A274,'Plano de Contas'!#REF!,10,FALSE))</f>
        <v/>
      </c>
    </row>
    <row r="275" spans="1:16" x14ac:dyDescent="0.25">
      <c r="A275" t="s">
        <v>495</v>
      </c>
      <c r="B275">
        <v>891</v>
      </c>
      <c r="C275" t="s">
        <v>496</v>
      </c>
      <c r="D275">
        <v>-17.12</v>
      </c>
      <c r="F275">
        <v>0</v>
      </c>
      <c r="H275">
        <v>0</v>
      </c>
      <c r="J275">
        <v>-17.12</v>
      </c>
      <c r="L275" s="1">
        <f t="shared" si="4"/>
        <v>-17.12</v>
      </c>
      <c r="N275" s="6" t="str">
        <f>IF(ISERROR(VLOOKUP($A275,'Plano de Contas'!#REF!,8,FALSE)),"",VLOOKUP($A275,'Plano de Contas'!#REF!,8,FALSE))</f>
        <v/>
      </c>
      <c r="P275" s="6" t="str">
        <f>IF(ISERROR(VLOOKUP($A275,'Plano de Contas'!#REF!,10,FALSE)),"",VLOOKUP($A275,'Plano de Contas'!#REF!,10,FALSE))</f>
        <v/>
      </c>
    </row>
    <row r="276" spans="1:16" x14ac:dyDescent="0.25">
      <c r="A276" t="s">
        <v>497</v>
      </c>
      <c r="B276">
        <v>892</v>
      </c>
      <c r="C276" t="s">
        <v>498</v>
      </c>
      <c r="D276" s="10">
        <v>-1356.32</v>
      </c>
      <c r="F276">
        <v>0</v>
      </c>
      <c r="H276">
        <v>0</v>
      </c>
      <c r="J276" s="10">
        <v>-1356.32</v>
      </c>
      <c r="L276" s="1">
        <f t="shared" si="4"/>
        <v>-1356.32</v>
      </c>
      <c r="N276" s="6" t="str">
        <f>IF(ISERROR(VLOOKUP($A276,'Plano de Contas'!#REF!,8,FALSE)),"",VLOOKUP($A276,'Plano de Contas'!#REF!,8,FALSE))</f>
        <v/>
      </c>
      <c r="P276" s="6" t="str">
        <f>IF(ISERROR(VLOOKUP($A276,'Plano de Contas'!#REF!,10,FALSE)),"",VLOOKUP($A276,'Plano de Contas'!#REF!,10,FALSE))</f>
        <v/>
      </c>
    </row>
    <row r="277" spans="1:16" x14ac:dyDescent="0.25">
      <c r="A277" t="s">
        <v>499</v>
      </c>
      <c r="B277">
        <v>893</v>
      </c>
      <c r="C277" t="s">
        <v>500</v>
      </c>
      <c r="D277" s="10">
        <v>7957.6</v>
      </c>
      <c r="E277" t="s">
        <v>35</v>
      </c>
      <c r="F277">
        <v>0</v>
      </c>
      <c r="H277">
        <v>0</v>
      </c>
      <c r="J277" s="10">
        <v>7957.6</v>
      </c>
      <c r="K277" t="s">
        <v>35</v>
      </c>
      <c r="L277" s="1">
        <f t="shared" si="4"/>
        <v>-7957.6</v>
      </c>
      <c r="N277" s="6" t="str">
        <f>IF(ISERROR(VLOOKUP($A277,'Plano de Contas'!#REF!,8,FALSE)),"",VLOOKUP($A277,'Plano de Contas'!#REF!,8,FALSE))</f>
        <v/>
      </c>
      <c r="P277" s="6" t="str">
        <f>IF(ISERROR(VLOOKUP($A277,'Plano de Contas'!#REF!,10,FALSE)),"",VLOOKUP($A277,'Plano de Contas'!#REF!,10,FALSE))</f>
        <v/>
      </c>
    </row>
    <row r="278" spans="1:16" x14ac:dyDescent="0.25">
      <c r="A278" t="s">
        <v>501</v>
      </c>
      <c r="B278">
        <v>894</v>
      </c>
      <c r="C278" t="s">
        <v>502</v>
      </c>
      <c r="D278" s="10">
        <v>18666.72</v>
      </c>
      <c r="E278" t="s">
        <v>35</v>
      </c>
      <c r="F278">
        <v>0</v>
      </c>
      <c r="H278">
        <v>0</v>
      </c>
      <c r="J278" s="10">
        <v>18666.72</v>
      </c>
      <c r="K278" t="s">
        <v>35</v>
      </c>
      <c r="L278" s="1">
        <f t="shared" si="4"/>
        <v>-18666.72</v>
      </c>
      <c r="N278" s="6" t="str">
        <f>IF(ISERROR(VLOOKUP($A278,'Plano de Contas'!#REF!,8,FALSE)),"",VLOOKUP($A278,'Plano de Contas'!#REF!,8,FALSE))</f>
        <v/>
      </c>
      <c r="P278" s="6" t="str">
        <f>IF(ISERROR(VLOOKUP($A278,'Plano de Contas'!#REF!,10,FALSE)),"",VLOOKUP($A278,'Plano de Contas'!#REF!,10,FALSE))</f>
        <v/>
      </c>
    </row>
    <row r="279" spans="1:16" x14ac:dyDescent="0.25">
      <c r="A279" t="s">
        <v>503</v>
      </c>
      <c r="B279">
        <v>895</v>
      </c>
      <c r="C279" t="s">
        <v>504</v>
      </c>
      <c r="D279">
        <v>255.68</v>
      </c>
      <c r="E279" t="s">
        <v>35</v>
      </c>
      <c r="F279">
        <v>0</v>
      </c>
      <c r="H279">
        <v>0</v>
      </c>
      <c r="J279">
        <v>255.68</v>
      </c>
      <c r="K279" t="s">
        <v>35</v>
      </c>
      <c r="L279" s="1">
        <f t="shared" si="4"/>
        <v>-255.68</v>
      </c>
      <c r="N279" s="6" t="str">
        <f>IF(ISERROR(VLOOKUP($A279,'Plano de Contas'!#REF!,8,FALSE)),"",VLOOKUP($A279,'Plano de Contas'!#REF!,8,FALSE))</f>
        <v/>
      </c>
      <c r="P279" s="6" t="str">
        <f>IF(ISERROR(VLOOKUP($A279,'Plano de Contas'!#REF!,10,FALSE)),"",VLOOKUP($A279,'Plano de Contas'!#REF!,10,FALSE))</f>
        <v/>
      </c>
    </row>
    <row r="280" spans="1:16" x14ac:dyDescent="0.25">
      <c r="A280" t="s">
        <v>505</v>
      </c>
      <c r="B280">
        <v>899</v>
      </c>
      <c r="C280" t="s">
        <v>506</v>
      </c>
      <c r="D280" s="10">
        <v>15885.76</v>
      </c>
      <c r="E280" t="s">
        <v>35</v>
      </c>
      <c r="F280">
        <v>0</v>
      </c>
      <c r="H280">
        <v>0</v>
      </c>
      <c r="J280" s="10">
        <v>15885.76</v>
      </c>
      <c r="K280" t="s">
        <v>35</v>
      </c>
      <c r="L280" s="1">
        <f t="shared" si="4"/>
        <v>-15885.76</v>
      </c>
      <c r="N280" s="6" t="str">
        <f>IF(ISERROR(VLOOKUP($A280,'Plano de Contas'!#REF!,8,FALSE)),"",VLOOKUP($A280,'Plano de Contas'!#REF!,8,FALSE))</f>
        <v/>
      </c>
      <c r="P280" s="6" t="str">
        <f>IF(ISERROR(VLOOKUP($A280,'Plano de Contas'!#REF!,10,FALSE)),"",VLOOKUP($A280,'Plano de Contas'!#REF!,10,FALSE))</f>
        <v/>
      </c>
    </row>
    <row r="281" spans="1:16" x14ac:dyDescent="0.25">
      <c r="L281" s="1">
        <f t="shared" si="4"/>
        <v>0</v>
      </c>
      <c r="N281" s="6" t="str">
        <f>IF(ISERROR(VLOOKUP($A281,'Plano de Contas'!#REF!,8,FALSE)),"",VLOOKUP($A281,'Plano de Contas'!#REF!,8,FALSE))</f>
        <v/>
      </c>
      <c r="P281" s="6" t="str">
        <f>IF(ISERROR(VLOOKUP($A281,'Plano de Contas'!#REF!,10,FALSE)),"",VLOOKUP($A281,'Plano de Contas'!#REF!,10,FALSE))</f>
        <v/>
      </c>
    </row>
    <row r="282" spans="1:16" x14ac:dyDescent="0.25">
      <c r="A282" t="s">
        <v>507</v>
      </c>
      <c r="B282">
        <v>904</v>
      </c>
      <c r="C282" t="s">
        <v>369</v>
      </c>
      <c r="D282" s="10">
        <v>1872.43</v>
      </c>
      <c r="F282">
        <v>0</v>
      </c>
      <c r="H282">
        <v>0</v>
      </c>
      <c r="J282" s="10">
        <v>1872.43</v>
      </c>
      <c r="L282" s="1">
        <f t="shared" si="4"/>
        <v>1872.43</v>
      </c>
      <c r="N282" s="6" t="str">
        <f>IF(ISERROR(VLOOKUP($A282,'Plano de Contas'!#REF!,8,FALSE)),"",VLOOKUP($A282,'Plano de Contas'!#REF!,8,FALSE))</f>
        <v/>
      </c>
      <c r="P282" s="6" t="str">
        <f>IF(ISERROR(VLOOKUP($A282,'Plano de Contas'!#REF!,10,FALSE)),"",VLOOKUP($A282,'Plano de Contas'!#REF!,10,FALSE))</f>
        <v/>
      </c>
    </row>
    <row r="283" spans="1:16" x14ac:dyDescent="0.25">
      <c r="A283" t="s">
        <v>508</v>
      </c>
      <c r="B283">
        <v>905</v>
      </c>
      <c r="C283" t="s">
        <v>509</v>
      </c>
      <c r="D283" s="10">
        <v>1872.43</v>
      </c>
      <c r="F283">
        <v>0</v>
      </c>
      <c r="H283">
        <v>0</v>
      </c>
      <c r="J283" s="10">
        <v>1872.43</v>
      </c>
      <c r="L283" s="1">
        <f t="shared" si="4"/>
        <v>1872.43</v>
      </c>
      <c r="N283" s="6" t="str">
        <f>IF(ISERROR(VLOOKUP($A283,'Plano de Contas'!#REF!,8,FALSE)),"",VLOOKUP($A283,'Plano de Contas'!#REF!,8,FALSE))</f>
        <v/>
      </c>
      <c r="P283" s="6" t="str">
        <f>IF(ISERROR(VLOOKUP($A283,'Plano de Contas'!#REF!,10,FALSE)),"",VLOOKUP($A283,'Plano de Contas'!#REF!,10,FALSE))</f>
        <v/>
      </c>
    </row>
    <row r="284" spans="1:16" x14ac:dyDescent="0.25">
      <c r="L284" s="1">
        <f t="shared" si="4"/>
        <v>0</v>
      </c>
      <c r="N284" s="6" t="str">
        <f>IF(ISERROR(VLOOKUP($A284,'Plano de Contas'!#REF!,8,FALSE)),"",VLOOKUP($A284,'Plano de Contas'!#REF!,8,FALSE))</f>
        <v/>
      </c>
      <c r="P284" s="6" t="str">
        <f>IF(ISERROR(VLOOKUP($A284,'Plano de Contas'!#REF!,10,FALSE)),"",VLOOKUP($A284,'Plano de Contas'!#REF!,10,FALSE))</f>
        <v/>
      </c>
    </row>
    <row r="285" spans="1:16" x14ac:dyDescent="0.25">
      <c r="A285">
        <v>2</v>
      </c>
      <c r="B285">
        <v>118</v>
      </c>
      <c r="C285" t="s">
        <v>510</v>
      </c>
      <c r="D285" s="10">
        <v>2237877131.7600002</v>
      </c>
      <c r="E285" t="s">
        <v>35</v>
      </c>
      <c r="F285" s="10">
        <v>138004135.62</v>
      </c>
      <c r="H285" s="10">
        <v>438787371.54000002</v>
      </c>
      <c r="I285" t="s">
        <v>35</v>
      </c>
      <c r="J285" s="10">
        <v>2538660367.6799998</v>
      </c>
      <c r="K285" t="s">
        <v>35</v>
      </c>
      <c r="L285" s="1">
        <f t="shared" si="4"/>
        <v>-2538660367.6799998</v>
      </c>
      <c r="N285" s="6" t="str">
        <f>IF(ISERROR(VLOOKUP($A285,'Plano de Contas'!#REF!,8,FALSE)),"",VLOOKUP($A285,'Plano de Contas'!#REF!,8,FALSE))</f>
        <v/>
      </c>
      <c r="P285" s="6" t="str">
        <f>IF(ISERROR(VLOOKUP($A285,'Plano de Contas'!#REF!,10,FALSE)),"",VLOOKUP($A285,'Plano de Contas'!#REF!,10,FALSE))</f>
        <v/>
      </c>
    </row>
    <row r="286" spans="1:16" x14ac:dyDescent="0.25">
      <c r="L286" s="1">
        <f t="shared" si="4"/>
        <v>0</v>
      </c>
      <c r="N286" s="6" t="str">
        <f>IF(ISERROR(VLOOKUP($A286,'Plano de Contas'!#REF!,8,FALSE)),"",VLOOKUP($A286,'Plano de Contas'!#REF!,8,FALSE))</f>
        <v/>
      </c>
      <c r="P286" s="6" t="str">
        <f>IF(ISERROR(VLOOKUP($A286,'Plano de Contas'!#REF!,10,FALSE)),"",VLOOKUP($A286,'Plano de Contas'!#REF!,10,FALSE))</f>
        <v/>
      </c>
    </row>
    <row r="287" spans="1:16" x14ac:dyDescent="0.25">
      <c r="A287" t="s">
        <v>511</v>
      </c>
      <c r="B287">
        <v>119</v>
      </c>
      <c r="C287" t="s">
        <v>512</v>
      </c>
      <c r="D287" s="10">
        <v>91004285.969999999</v>
      </c>
      <c r="E287" t="s">
        <v>35</v>
      </c>
      <c r="F287" s="10">
        <v>138004135.62</v>
      </c>
      <c r="H287" s="10">
        <v>239802179.44999999</v>
      </c>
      <c r="I287" t="s">
        <v>35</v>
      </c>
      <c r="J287" s="10">
        <v>192802329.80000001</v>
      </c>
      <c r="K287" t="s">
        <v>35</v>
      </c>
      <c r="L287" s="1">
        <f t="shared" si="4"/>
        <v>-192802329.80000001</v>
      </c>
      <c r="N287" s="6" t="str">
        <f>IF(ISERROR(VLOOKUP($A287,'Plano de Contas'!#REF!,8,FALSE)),"",VLOOKUP($A287,'Plano de Contas'!#REF!,8,FALSE))</f>
        <v/>
      </c>
      <c r="P287" s="6" t="str">
        <f>IF(ISERROR(VLOOKUP($A287,'Plano de Contas'!#REF!,10,FALSE)),"",VLOOKUP($A287,'Plano de Contas'!#REF!,10,FALSE))</f>
        <v/>
      </c>
    </row>
    <row r="288" spans="1:16" x14ac:dyDescent="0.25">
      <c r="L288" s="1">
        <f t="shared" si="4"/>
        <v>0</v>
      </c>
      <c r="N288" s="6" t="str">
        <f>IF(ISERROR(VLOOKUP($A288,'Plano de Contas'!#REF!,8,FALSE)),"",VLOOKUP($A288,'Plano de Contas'!#REF!,8,FALSE))</f>
        <v/>
      </c>
      <c r="P288" s="6" t="str">
        <f>IF(ISERROR(VLOOKUP($A288,'Plano de Contas'!#REF!,10,FALSE)),"",VLOOKUP($A288,'Plano de Contas'!#REF!,10,FALSE))</f>
        <v/>
      </c>
    </row>
    <row r="289" spans="1:16" x14ac:dyDescent="0.25">
      <c r="A289" t="s">
        <v>513</v>
      </c>
      <c r="B289">
        <v>120</v>
      </c>
      <c r="C289" t="s">
        <v>514</v>
      </c>
      <c r="D289" s="10">
        <v>91004285.969999999</v>
      </c>
      <c r="E289" t="s">
        <v>35</v>
      </c>
      <c r="F289" s="10">
        <v>138004135.62</v>
      </c>
      <c r="H289" s="10">
        <v>239802179.44999999</v>
      </c>
      <c r="I289" t="s">
        <v>35</v>
      </c>
      <c r="J289" s="10">
        <v>192802329.80000001</v>
      </c>
      <c r="K289" t="s">
        <v>35</v>
      </c>
      <c r="L289" s="1">
        <f t="shared" si="4"/>
        <v>-192802329.80000001</v>
      </c>
      <c r="N289" s="6" t="str">
        <f>IF(ISERROR(VLOOKUP($A289,'Plano de Contas'!#REF!,8,FALSE)),"",VLOOKUP($A289,'Plano de Contas'!#REF!,8,FALSE))</f>
        <v/>
      </c>
      <c r="P289" s="6" t="str">
        <f>IF(ISERROR(VLOOKUP($A289,'Plano de Contas'!#REF!,10,FALSE)),"",VLOOKUP($A289,'Plano de Contas'!#REF!,10,FALSE))</f>
        <v/>
      </c>
    </row>
    <row r="290" spans="1:16" x14ac:dyDescent="0.25">
      <c r="L290" s="1">
        <f t="shared" si="4"/>
        <v>0</v>
      </c>
      <c r="N290" s="6" t="str">
        <f>IF(ISERROR(VLOOKUP($A290,'Plano de Contas'!#REF!,8,FALSE)),"",VLOOKUP($A290,'Plano de Contas'!#REF!,8,FALSE))</f>
        <v/>
      </c>
      <c r="P290" s="6" t="str">
        <f>IF(ISERROR(VLOOKUP($A290,'Plano de Contas'!#REF!,10,FALSE)),"",VLOOKUP($A290,'Plano de Contas'!#REF!,10,FALSE))</f>
        <v/>
      </c>
    </row>
    <row r="291" spans="1:16" x14ac:dyDescent="0.25">
      <c r="A291" t="s">
        <v>515</v>
      </c>
      <c r="B291">
        <v>121</v>
      </c>
      <c r="C291" t="s">
        <v>516</v>
      </c>
      <c r="D291" s="10">
        <v>54079506.990000002</v>
      </c>
      <c r="E291" t="s">
        <v>35</v>
      </c>
      <c r="F291" s="10">
        <v>129519049.91</v>
      </c>
      <c r="H291" s="10">
        <v>232257613.5</v>
      </c>
      <c r="I291" t="s">
        <v>35</v>
      </c>
      <c r="J291" s="10">
        <v>156818070.58000001</v>
      </c>
      <c r="K291" t="s">
        <v>35</v>
      </c>
      <c r="L291" s="1">
        <f t="shared" si="4"/>
        <v>-156818070.58000001</v>
      </c>
      <c r="N291" s="6" t="str">
        <f>IF(ISERROR(VLOOKUP($A291,'Plano de Contas'!#REF!,8,FALSE)),"",VLOOKUP($A291,'Plano de Contas'!#REF!,8,FALSE))</f>
        <v/>
      </c>
      <c r="P291" s="6" t="str">
        <f>IF(ISERROR(VLOOKUP($A291,'Plano de Contas'!#REF!,10,FALSE)),"",VLOOKUP($A291,'Plano de Contas'!#REF!,10,FALSE))</f>
        <v/>
      </c>
    </row>
    <row r="292" spans="1:16" x14ac:dyDescent="0.25">
      <c r="A292" t="s">
        <v>517</v>
      </c>
      <c r="B292">
        <v>122</v>
      </c>
      <c r="C292" t="s">
        <v>518</v>
      </c>
      <c r="D292" s="10">
        <v>13749.6</v>
      </c>
      <c r="E292" t="s">
        <v>35</v>
      </c>
      <c r="F292" s="10">
        <v>22883.82</v>
      </c>
      <c r="H292" s="10">
        <v>29557.43</v>
      </c>
      <c r="I292" t="s">
        <v>35</v>
      </c>
      <c r="J292" s="10">
        <v>20423.21</v>
      </c>
      <c r="K292" t="s">
        <v>35</v>
      </c>
      <c r="L292" s="1">
        <f t="shared" si="4"/>
        <v>-20423.21</v>
      </c>
      <c r="N292" s="6" t="str">
        <f>IF(ISERROR(VLOOKUP($A292,'Plano de Contas'!#REF!,8,FALSE)),"",VLOOKUP($A292,'Plano de Contas'!#REF!,8,FALSE))</f>
        <v/>
      </c>
      <c r="P292" s="6" t="str">
        <f>IF(ISERROR(VLOOKUP($A292,'Plano de Contas'!#REF!,10,FALSE)),"",VLOOKUP($A292,'Plano de Contas'!#REF!,10,FALSE))</f>
        <v/>
      </c>
    </row>
    <row r="293" spans="1:16" x14ac:dyDescent="0.25">
      <c r="A293" t="s">
        <v>519</v>
      </c>
      <c r="B293">
        <v>123</v>
      </c>
      <c r="C293" t="s">
        <v>520</v>
      </c>
      <c r="D293">
        <v>-513.26</v>
      </c>
      <c r="F293" s="10">
        <v>12506.81</v>
      </c>
      <c r="H293" s="10">
        <v>-11884.81</v>
      </c>
      <c r="J293">
        <v>108.74</v>
      </c>
      <c r="L293" s="1">
        <f t="shared" si="4"/>
        <v>108.74</v>
      </c>
      <c r="N293" s="6" t="str">
        <f>IF(ISERROR(VLOOKUP($A293,'Plano de Contas'!#REF!,8,FALSE)),"",VLOOKUP($A293,'Plano de Contas'!#REF!,8,FALSE))</f>
        <v/>
      </c>
      <c r="P293" s="6" t="str">
        <f>IF(ISERROR(VLOOKUP($A293,'Plano de Contas'!#REF!,10,FALSE)),"",VLOOKUP($A293,'Plano de Contas'!#REF!,10,FALSE))</f>
        <v/>
      </c>
    </row>
    <row r="294" spans="1:16" x14ac:dyDescent="0.25">
      <c r="A294" t="s">
        <v>521</v>
      </c>
      <c r="B294">
        <v>124</v>
      </c>
      <c r="C294" t="s">
        <v>522</v>
      </c>
      <c r="D294" s="10">
        <v>-54057483.93</v>
      </c>
      <c r="F294" s="10">
        <v>129483659.28</v>
      </c>
      <c r="H294" s="10">
        <v>-232216171.25999999</v>
      </c>
      <c r="J294" s="10">
        <v>-156789995.91</v>
      </c>
      <c r="L294" s="1">
        <f t="shared" si="4"/>
        <v>-156789995.91</v>
      </c>
      <c r="N294" s="6" t="str">
        <f>IF(ISERROR(VLOOKUP($A294,'Plano de Contas'!#REF!,8,FALSE)),"",VLOOKUP($A294,'Plano de Contas'!#REF!,8,FALSE))</f>
        <v/>
      </c>
      <c r="P294" s="6" t="str">
        <f>IF(ISERROR(VLOOKUP($A294,'Plano de Contas'!#REF!,10,FALSE)),"",VLOOKUP($A294,'Plano de Contas'!#REF!,10,FALSE))</f>
        <v/>
      </c>
    </row>
    <row r="295" spans="1:16" x14ac:dyDescent="0.25">
      <c r="A295" t="s">
        <v>523</v>
      </c>
      <c r="B295">
        <v>429</v>
      </c>
      <c r="C295" t="s">
        <v>524</v>
      </c>
      <c r="D295" s="10">
        <v>-7760.2</v>
      </c>
      <c r="F295">
        <v>0</v>
      </c>
      <c r="H295">
        <v>0</v>
      </c>
      <c r="J295" s="10">
        <v>-7760.2</v>
      </c>
      <c r="L295" s="1">
        <f t="shared" si="4"/>
        <v>-7760.2</v>
      </c>
      <c r="N295" s="6" t="str">
        <f>IF(ISERROR(VLOOKUP($A295,'Plano de Contas'!#REF!,8,FALSE)),"",VLOOKUP($A295,'Plano de Contas'!#REF!,8,FALSE))</f>
        <v/>
      </c>
      <c r="P295" s="6" t="str">
        <f>IF(ISERROR(VLOOKUP($A295,'Plano de Contas'!#REF!,10,FALSE)),"",VLOOKUP($A295,'Plano de Contas'!#REF!,10,FALSE))</f>
        <v/>
      </c>
    </row>
    <row r="296" spans="1:16" x14ac:dyDescent="0.25">
      <c r="L296" s="1">
        <f t="shared" si="4"/>
        <v>0</v>
      </c>
      <c r="N296" s="6" t="str">
        <f>IF(ISERROR(VLOOKUP($A296,'Plano de Contas'!#REF!,8,FALSE)),"",VLOOKUP($A296,'Plano de Contas'!#REF!,8,FALSE))</f>
        <v/>
      </c>
      <c r="P296" s="6" t="str">
        <f>IF(ISERROR(VLOOKUP($A296,'Plano de Contas'!#REF!,10,FALSE)),"",VLOOKUP($A296,'Plano de Contas'!#REF!,10,FALSE))</f>
        <v/>
      </c>
    </row>
    <row r="297" spans="1:16" x14ac:dyDescent="0.25">
      <c r="A297" t="s">
        <v>525</v>
      </c>
      <c r="B297">
        <v>125</v>
      </c>
      <c r="C297" t="s">
        <v>526</v>
      </c>
      <c r="D297" s="10">
        <v>92694.55</v>
      </c>
      <c r="E297" t="s">
        <v>35</v>
      </c>
      <c r="F297" s="10">
        <v>1690151.38</v>
      </c>
      <c r="H297" s="10">
        <v>1614751.14</v>
      </c>
      <c r="I297" t="s">
        <v>35</v>
      </c>
      <c r="J297" s="10">
        <v>17294.310000000001</v>
      </c>
      <c r="K297" t="s">
        <v>35</v>
      </c>
      <c r="L297" s="1">
        <f t="shared" si="4"/>
        <v>-17294.310000000001</v>
      </c>
      <c r="N297" s="6" t="str">
        <f>IF(ISERROR(VLOOKUP($A297,'Plano de Contas'!#REF!,8,FALSE)),"",VLOOKUP($A297,'Plano de Contas'!#REF!,8,FALSE))</f>
        <v/>
      </c>
      <c r="P297" s="6" t="str">
        <f>IF(ISERROR(VLOOKUP($A297,'Plano de Contas'!#REF!,10,FALSE)),"",VLOOKUP($A297,'Plano de Contas'!#REF!,10,FALSE))</f>
        <v/>
      </c>
    </row>
    <row r="298" spans="1:16" x14ac:dyDescent="0.25">
      <c r="A298" t="s">
        <v>527</v>
      </c>
      <c r="B298">
        <v>126</v>
      </c>
      <c r="C298" t="s">
        <v>528</v>
      </c>
      <c r="D298" s="10">
        <v>-76996.11</v>
      </c>
      <c r="F298" s="10">
        <v>1097975.1000000001</v>
      </c>
      <c r="H298" s="10">
        <v>-1020988.96</v>
      </c>
      <c r="J298">
        <v>-9.9700000000000006</v>
      </c>
      <c r="L298" s="1">
        <f t="shared" si="4"/>
        <v>-9.9700000000000006</v>
      </c>
      <c r="N298" s="6" t="str">
        <f>IF(ISERROR(VLOOKUP($A298,'Plano de Contas'!#REF!,8,FALSE)),"",VLOOKUP($A298,'Plano de Contas'!#REF!,8,FALSE))</f>
        <v/>
      </c>
      <c r="P298" s="6" t="str">
        <f>IF(ISERROR(VLOOKUP($A298,'Plano de Contas'!#REF!,10,FALSE)),"",VLOOKUP($A298,'Plano de Contas'!#REF!,10,FALSE))</f>
        <v/>
      </c>
    </row>
    <row r="299" spans="1:16" x14ac:dyDescent="0.25">
      <c r="A299" t="s">
        <v>529</v>
      </c>
      <c r="B299">
        <v>128</v>
      </c>
      <c r="C299" t="s">
        <v>530</v>
      </c>
      <c r="D299">
        <v>0</v>
      </c>
      <c r="F299" s="10">
        <v>518365.33</v>
      </c>
      <c r="H299" s="10">
        <v>519473.98</v>
      </c>
      <c r="I299" t="s">
        <v>35</v>
      </c>
      <c r="J299" s="10">
        <v>1108.6500000000001</v>
      </c>
      <c r="K299" t="s">
        <v>35</v>
      </c>
      <c r="L299" s="1">
        <f t="shared" si="4"/>
        <v>-1108.6500000000001</v>
      </c>
      <c r="N299" s="6" t="str">
        <f>IF(ISERROR(VLOOKUP($A299,'Plano de Contas'!#REF!,8,FALSE)),"",VLOOKUP($A299,'Plano de Contas'!#REF!,8,FALSE))</f>
        <v/>
      </c>
      <c r="P299" s="6" t="str">
        <f>IF(ISERROR(VLOOKUP($A299,'Plano de Contas'!#REF!,10,FALSE)),"",VLOOKUP($A299,'Plano de Contas'!#REF!,10,FALSE))</f>
        <v/>
      </c>
    </row>
    <row r="300" spans="1:16" x14ac:dyDescent="0.25">
      <c r="A300" t="s">
        <v>531</v>
      </c>
      <c r="B300">
        <v>129</v>
      </c>
      <c r="C300" t="s">
        <v>532</v>
      </c>
      <c r="D300" s="10">
        <v>2565.5</v>
      </c>
      <c r="F300" s="10">
        <v>19791.400000000001</v>
      </c>
      <c r="H300" s="10">
        <v>19791.400000000001</v>
      </c>
      <c r="I300" t="s">
        <v>35</v>
      </c>
      <c r="J300" s="10">
        <v>2565.5</v>
      </c>
      <c r="L300" s="1">
        <f t="shared" si="4"/>
        <v>2565.5</v>
      </c>
      <c r="N300" s="6" t="str">
        <f>IF(ISERROR(VLOOKUP($A300,'Plano de Contas'!#REF!,8,FALSE)),"",VLOOKUP($A300,'Plano de Contas'!#REF!,8,FALSE))</f>
        <v/>
      </c>
      <c r="P300" s="6" t="str">
        <f>IF(ISERROR(VLOOKUP($A300,'Plano de Contas'!#REF!,10,FALSE)),"",VLOOKUP($A300,'Plano de Contas'!#REF!,10,FALSE))</f>
        <v/>
      </c>
    </row>
    <row r="301" spans="1:16" x14ac:dyDescent="0.25">
      <c r="A301" t="s">
        <v>533</v>
      </c>
      <c r="B301">
        <v>130</v>
      </c>
      <c r="C301" t="s">
        <v>534</v>
      </c>
      <c r="D301">
        <v>-0.1</v>
      </c>
      <c r="F301" s="10">
        <v>35755.71</v>
      </c>
      <c r="H301" s="10">
        <v>-35755.71</v>
      </c>
      <c r="J301">
        <v>-0.1</v>
      </c>
      <c r="L301" s="1">
        <f t="shared" si="4"/>
        <v>-0.1</v>
      </c>
      <c r="N301" s="6" t="str">
        <f>IF(ISERROR(VLOOKUP($A301,'Plano de Contas'!#REF!,8,FALSE)),"",VLOOKUP($A301,'Plano de Contas'!#REF!,8,FALSE))</f>
        <v/>
      </c>
      <c r="P301" s="6" t="str">
        <f>IF(ISERROR(VLOOKUP($A301,'Plano de Contas'!#REF!,10,FALSE)),"",VLOOKUP($A301,'Plano de Contas'!#REF!,10,FALSE))</f>
        <v/>
      </c>
    </row>
    <row r="302" spans="1:16" x14ac:dyDescent="0.25">
      <c r="A302" t="s">
        <v>535</v>
      </c>
      <c r="B302">
        <v>132</v>
      </c>
      <c r="C302" t="s">
        <v>536</v>
      </c>
      <c r="D302" s="10">
        <v>-18263.84</v>
      </c>
      <c r="F302" s="10">
        <v>18263.84</v>
      </c>
      <c r="H302" s="10">
        <v>-18741.09</v>
      </c>
      <c r="J302" s="10">
        <v>-18741.09</v>
      </c>
      <c r="L302" s="1">
        <f t="shared" si="4"/>
        <v>-18741.09</v>
      </c>
      <c r="N302" s="6" t="str">
        <f>IF(ISERROR(VLOOKUP($A302,'Plano de Contas'!#REF!,8,FALSE)),"",VLOOKUP($A302,'Plano de Contas'!#REF!,8,FALSE))</f>
        <v/>
      </c>
      <c r="P302" s="6" t="str">
        <f>IF(ISERROR(VLOOKUP($A302,'Plano de Contas'!#REF!,10,FALSE)),"",VLOOKUP($A302,'Plano de Contas'!#REF!,10,FALSE))</f>
        <v/>
      </c>
    </row>
    <row r="303" spans="1:16" x14ac:dyDescent="0.25">
      <c r="L303" s="1">
        <f t="shared" si="4"/>
        <v>0</v>
      </c>
      <c r="N303" s="6" t="str">
        <f>IF(ISERROR(VLOOKUP($A303,'Plano de Contas'!#REF!,8,FALSE)),"",VLOOKUP($A303,'Plano de Contas'!#REF!,8,FALSE))</f>
        <v/>
      </c>
      <c r="P303" s="6" t="str">
        <f>IF(ISERROR(VLOOKUP($A303,'Plano de Contas'!#REF!,10,FALSE)),"",VLOOKUP($A303,'Plano de Contas'!#REF!,10,FALSE))</f>
        <v/>
      </c>
    </row>
    <row r="304" spans="1:16" x14ac:dyDescent="0.25">
      <c r="A304" t="s">
        <v>537</v>
      </c>
      <c r="B304">
        <v>133</v>
      </c>
      <c r="C304" t="s">
        <v>538</v>
      </c>
      <c r="D304" s="10">
        <v>910587.97</v>
      </c>
      <c r="E304" t="s">
        <v>35</v>
      </c>
      <c r="F304" s="10">
        <v>1395616.66</v>
      </c>
      <c r="H304" s="10">
        <v>2481101.5699999998</v>
      </c>
      <c r="I304" t="s">
        <v>35</v>
      </c>
      <c r="J304" s="10">
        <v>1996072.88</v>
      </c>
      <c r="K304" t="s">
        <v>35</v>
      </c>
      <c r="L304" s="1">
        <f t="shared" si="4"/>
        <v>-1996072.88</v>
      </c>
      <c r="N304" s="6" t="str">
        <f>IF(ISERROR(VLOOKUP($A304,'Plano de Contas'!#REF!,8,FALSE)),"",VLOOKUP($A304,'Plano de Contas'!#REF!,8,FALSE))</f>
        <v/>
      </c>
      <c r="P304" s="6" t="str">
        <f>IF(ISERROR(VLOOKUP($A304,'Plano de Contas'!#REF!,10,FALSE)),"",VLOOKUP($A304,'Plano de Contas'!#REF!,10,FALSE))</f>
        <v/>
      </c>
    </row>
    <row r="305" spans="1:16" x14ac:dyDescent="0.25">
      <c r="A305" t="s">
        <v>539</v>
      </c>
      <c r="B305">
        <v>134</v>
      </c>
      <c r="C305" t="s">
        <v>540</v>
      </c>
      <c r="D305" s="10">
        <v>796386.86</v>
      </c>
      <c r="E305" t="s">
        <v>35</v>
      </c>
      <c r="F305" s="10">
        <v>1237005.3</v>
      </c>
      <c r="H305" s="10">
        <v>2258454.25</v>
      </c>
      <c r="I305" t="s">
        <v>35</v>
      </c>
      <c r="J305" s="10">
        <v>1817835.81</v>
      </c>
      <c r="K305" t="s">
        <v>35</v>
      </c>
      <c r="L305" s="1">
        <f t="shared" si="4"/>
        <v>-1817835.81</v>
      </c>
      <c r="N305" s="6" t="str">
        <f>IF(ISERROR(VLOOKUP($A305,'Plano de Contas'!#REF!,8,FALSE)),"",VLOOKUP($A305,'Plano de Contas'!#REF!,8,FALSE))</f>
        <v/>
      </c>
      <c r="P305" s="6" t="str">
        <f>IF(ISERROR(VLOOKUP($A305,'Plano de Contas'!#REF!,10,FALSE)),"",VLOOKUP($A305,'Plano de Contas'!#REF!,10,FALSE))</f>
        <v/>
      </c>
    </row>
    <row r="306" spans="1:16" x14ac:dyDescent="0.25">
      <c r="A306" t="s">
        <v>541</v>
      </c>
      <c r="B306">
        <v>135</v>
      </c>
      <c r="C306" t="s">
        <v>542</v>
      </c>
      <c r="D306" s="10">
        <v>114201.11</v>
      </c>
      <c r="E306" t="s">
        <v>35</v>
      </c>
      <c r="F306" s="10">
        <v>158611.35999999999</v>
      </c>
      <c r="H306" s="10">
        <v>222647.32</v>
      </c>
      <c r="I306" t="s">
        <v>35</v>
      </c>
      <c r="J306" s="10">
        <v>178237.07</v>
      </c>
      <c r="K306" t="s">
        <v>35</v>
      </c>
      <c r="L306" s="1">
        <f t="shared" si="4"/>
        <v>-178237.07</v>
      </c>
      <c r="N306" s="6" t="str">
        <f>IF(ISERROR(VLOOKUP($A306,'Plano de Contas'!#REF!,8,FALSE)),"",VLOOKUP($A306,'Plano de Contas'!#REF!,8,FALSE))</f>
        <v/>
      </c>
      <c r="P306" s="6" t="str">
        <f>IF(ISERROR(VLOOKUP($A306,'Plano de Contas'!#REF!,10,FALSE)),"",VLOOKUP($A306,'Plano de Contas'!#REF!,10,FALSE))</f>
        <v/>
      </c>
    </row>
    <row r="307" spans="1:16" x14ac:dyDescent="0.25">
      <c r="L307" s="1">
        <f t="shared" si="4"/>
        <v>0</v>
      </c>
      <c r="N307" s="6" t="str">
        <f>IF(ISERROR(VLOOKUP($A307,'Plano de Contas'!#REF!,8,FALSE)),"",VLOOKUP($A307,'Plano de Contas'!#REF!,8,FALSE))</f>
        <v/>
      </c>
      <c r="P307" s="6" t="str">
        <f>IF(ISERROR(VLOOKUP($A307,'Plano de Contas'!#REF!,10,FALSE)),"",VLOOKUP($A307,'Plano de Contas'!#REF!,10,FALSE))</f>
        <v/>
      </c>
    </row>
    <row r="308" spans="1:16" x14ac:dyDescent="0.25">
      <c r="A308" t="s">
        <v>543</v>
      </c>
      <c r="B308">
        <v>136</v>
      </c>
      <c r="C308" t="s">
        <v>544</v>
      </c>
      <c r="D308" s="10">
        <v>4360391.91</v>
      </c>
      <c r="E308" t="s">
        <v>35</v>
      </c>
      <c r="F308" s="10">
        <v>2601542.48</v>
      </c>
      <c r="H308" s="10">
        <v>2520343.79</v>
      </c>
      <c r="I308" t="s">
        <v>35</v>
      </c>
      <c r="J308" s="10">
        <v>4279193.22</v>
      </c>
      <c r="K308" t="s">
        <v>35</v>
      </c>
      <c r="L308" s="1">
        <f t="shared" si="4"/>
        <v>-4279193.22</v>
      </c>
      <c r="N308" s="6" t="str">
        <f>IF(ISERROR(VLOOKUP($A308,'Plano de Contas'!#REF!,8,FALSE)),"",VLOOKUP($A308,'Plano de Contas'!#REF!,8,FALSE))</f>
        <v/>
      </c>
      <c r="P308" s="6" t="str">
        <f>IF(ISERROR(VLOOKUP($A308,'Plano de Contas'!#REF!,10,FALSE)),"",VLOOKUP($A308,'Plano de Contas'!#REF!,10,FALSE))</f>
        <v/>
      </c>
    </row>
    <row r="309" spans="1:16" x14ac:dyDescent="0.25">
      <c r="A309" t="s">
        <v>545</v>
      </c>
      <c r="B309">
        <v>137</v>
      </c>
      <c r="C309" t="s">
        <v>546</v>
      </c>
      <c r="D309" s="10">
        <v>315134.62</v>
      </c>
      <c r="E309" t="s">
        <v>35</v>
      </c>
      <c r="F309" s="10">
        <v>101868.5</v>
      </c>
      <c r="H309" s="10">
        <v>84310.7</v>
      </c>
      <c r="I309" t="s">
        <v>35</v>
      </c>
      <c r="J309" s="10">
        <v>297576.82</v>
      </c>
      <c r="K309" t="s">
        <v>35</v>
      </c>
      <c r="L309" s="1">
        <f t="shared" si="4"/>
        <v>-297576.82</v>
      </c>
      <c r="N309" s="6" t="str">
        <f>IF(ISERROR(VLOOKUP($A309,'Plano de Contas'!#REF!,8,FALSE)),"",VLOOKUP($A309,'Plano de Contas'!#REF!,8,FALSE))</f>
        <v/>
      </c>
      <c r="P309" s="6" t="str">
        <f>IF(ISERROR(VLOOKUP($A309,'Plano de Contas'!#REF!,10,FALSE)),"",VLOOKUP($A309,'Plano de Contas'!#REF!,10,FALSE))</f>
        <v/>
      </c>
    </row>
    <row r="310" spans="1:16" x14ac:dyDescent="0.25">
      <c r="A310" t="s">
        <v>547</v>
      </c>
      <c r="B310">
        <v>138</v>
      </c>
      <c r="C310" t="s">
        <v>548</v>
      </c>
      <c r="D310" s="10">
        <v>-4959.2</v>
      </c>
      <c r="F310" s="10">
        <v>4893.63</v>
      </c>
      <c r="H310">
        <v>0</v>
      </c>
      <c r="J310">
        <v>-65.569999999999993</v>
      </c>
      <c r="L310" s="1">
        <f t="shared" si="4"/>
        <v>-65.569999999999993</v>
      </c>
      <c r="N310" s="6" t="str">
        <f>IF(ISERROR(VLOOKUP($A310,'Plano de Contas'!#REF!,8,FALSE)),"",VLOOKUP($A310,'Plano de Contas'!#REF!,8,FALSE))</f>
        <v/>
      </c>
      <c r="P310" s="6" t="str">
        <f>IF(ISERROR(VLOOKUP($A310,'Plano de Contas'!#REF!,10,FALSE)),"",VLOOKUP($A310,'Plano de Contas'!#REF!,10,FALSE))</f>
        <v/>
      </c>
    </row>
    <row r="311" spans="1:16" x14ac:dyDescent="0.25">
      <c r="A311" t="s">
        <v>549</v>
      </c>
      <c r="B311">
        <v>139</v>
      </c>
      <c r="C311" t="s">
        <v>550</v>
      </c>
      <c r="D311" s="10">
        <v>202962.03</v>
      </c>
      <c r="E311" t="s">
        <v>35</v>
      </c>
      <c r="F311" s="10">
        <v>395040.03</v>
      </c>
      <c r="H311" s="10">
        <v>383865.13</v>
      </c>
      <c r="I311" t="s">
        <v>35</v>
      </c>
      <c r="J311" s="10">
        <v>191787.13</v>
      </c>
      <c r="K311" t="s">
        <v>35</v>
      </c>
      <c r="L311" s="1">
        <f t="shared" si="4"/>
        <v>-191787.13</v>
      </c>
      <c r="N311" s="6" t="str">
        <f>IF(ISERROR(VLOOKUP($A311,'Plano de Contas'!#REF!,8,FALSE)),"",VLOOKUP($A311,'Plano de Contas'!#REF!,8,FALSE))</f>
        <v/>
      </c>
      <c r="P311" s="6" t="str">
        <f>IF(ISERROR(VLOOKUP($A311,'Plano de Contas'!#REF!,10,FALSE)),"",VLOOKUP($A311,'Plano de Contas'!#REF!,10,FALSE))</f>
        <v/>
      </c>
    </row>
    <row r="312" spans="1:16" x14ac:dyDescent="0.25">
      <c r="A312" t="s">
        <v>551</v>
      </c>
      <c r="B312">
        <v>142</v>
      </c>
      <c r="C312" t="s">
        <v>552</v>
      </c>
      <c r="D312" s="10">
        <v>107467.97</v>
      </c>
      <c r="E312" t="s">
        <v>35</v>
      </c>
      <c r="F312" s="10">
        <v>120977.19</v>
      </c>
      <c r="H312" s="10">
        <v>119772.26</v>
      </c>
      <c r="I312" t="s">
        <v>35</v>
      </c>
      <c r="J312" s="10">
        <v>106263.03999999999</v>
      </c>
      <c r="K312" t="s">
        <v>35</v>
      </c>
      <c r="L312" s="1">
        <f t="shared" si="4"/>
        <v>-106263.03999999999</v>
      </c>
      <c r="N312" s="6" t="str">
        <f>IF(ISERROR(VLOOKUP($A312,'Plano de Contas'!#REF!,8,FALSE)),"",VLOOKUP($A312,'Plano de Contas'!#REF!,8,FALSE))</f>
        <v/>
      </c>
      <c r="P312" s="6" t="str">
        <f>IF(ISERROR(VLOOKUP($A312,'Plano de Contas'!#REF!,10,FALSE)),"",VLOOKUP($A312,'Plano de Contas'!#REF!,10,FALSE))</f>
        <v/>
      </c>
    </row>
    <row r="313" spans="1:16" x14ac:dyDescent="0.25">
      <c r="A313" t="s">
        <v>553</v>
      </c>
      <c r="B313">
        <v>143</v>
      </c>
      <c r="C313" t="s">
        <v>554</v>
      </c>
      <c r="D313" s="10">
        <v>494978.67</v>
      </c>
      <c r="E313" t="s">
        <v>35</v>
      </c>
      <c r="F313" s="10">
        <v>550058.34</v>
      </c>
      <c r="H313" s="10">
        <v>551677.42000000004</v>
      </c>
      <c r="I313" t="s">
        <v>35</v>
      </c>
      <c r="J313" s="10">
        <v>496597.75</v>
      </c>
      <c r="K313" t="s">
        <v>35</v>
      </c>
      <c r="L313" s="1">
        <f t="shared" si="4"/>
        <v>-496597.75</v>
      </c>
      <c r="N313" s="6" t="str">
        <f>IF(ISERROR(VLOOKUP($A313,'Plano de Contas'!#REF!,8,FALSE)),"",VLOOKUP($A313,'Plano de Contas'!#REF!,8,FALSE))</f>
        <v/>
      </c>
      <c r="P313" s="6" t="str">
        <f>IF(ISERROR(VLOOKUP($A313,'Plano de Contas'!#REF!,10,FALSE)),"",VLOOKUP($A313,'Plano de Contas'!#REF!,10,FALSE))</f>
        <v/>
      </c>
    </row>
    <row r="314" spans="1:16" x14ac:dyDescent="0.25">
      <c r="A314" t="s">
        <v>555</v>
      </c>
      <c r="B314">
        <v>144</v>
      </c>
      <c r="C314" t="s">
        <v>556</v>
      </c>
      <c r="D314" s="10">
        <v>-120372.1</v>
      </c>
      <c r="F314" s="10">
        <v>145434.07</v>
      </c>
      <c r="H314" s="10">
        <v>-113444.79</v>
      </c>
      <c r="J314" s="10">
        <v>-88382.82</v>
      </c>
      <c r="L314" s="1">
        <f t="shared" si="4"/>
        <v>-88382.82</v>
      </c>
      <c r="N314" s="6" t="str">
        <f>IF(ISERROR(VLOOKUP($A314,'Plano de Contas'!#REF!,8,FALSE)),"",VLOOKUP($A314,'Plano de Contas'!#REF!,8,FALSE))</f>
        <v/>
      </c>
      <c r="P314" s="6" t="str">
        <f>IF(ISERROR(VLOOKUP($A314,'Plano de Contas'!#REF!,10,FALSE)),"",VLOOKUP($A314,'Plano de Contas'!#REF!,10,FALSE))</f>
        <v/>
      </c>
    </row>
    <row r="315" spans="1:16" x14ac:dyDescent="0.25">
      <c r="A315" t="s">
        <v>557</v>
      </c>
      <c r="B315">
        <v>145</v>
      </c>
      <c r="C315" t="s">
        <v>558</v>
      </c>
      <c r="D315" s="10">
        <v>2007135.08</v>
      </c>
      <c r="E315" t="s">
        <v>35</v>
      </c>
      <c r="F315" s="10">
        <v>1084274.56</v>
      </c>
      <c r="H315" s="10">
        <v>988978.12</v>
      </c>
      <c r="I315" t="s">
        <v>35</v>
      </c>
      <c r="J315" s="10">
        <v>1911838.64</v>
      </c>
      <c r="K315" t="s">
        <v>35</v>
      </c>
      <c r="L315" s="1">
        <f t="shared" si="4"/>
        <v>-1911838.64</v>
      </c>
      <c r="N315" s="6" t="str">
        <f>IF(ISERROR(VLOOKUP($A315,'Plano de Contas'!#REF!,8,FALSE)),"",VLOOKUP($A315,'Plano de Contas'!#REF!,8,FALSE))</f>
        <v/>
      </c>
      <c r="P315" s="6" t="str">
        <f>IF(ISERROR(VLOOKUP($A315,'Plano de Contas'!#REF!,10,FALSE)),"",VLOOKUP($A315,'Plano de Contas'!#REF!,10,FALSE))</f>
        <v/>
      </c>
    </row>
    <row r="316" spans="1:16" x14ac:dyDescent="0.25">
      <c r="A316" t="s">
        <v>559</v>
      </c>
      <c r="B316">
        <v>511</v>
      </c>
      <c r="C316" t="s">
        <v>560</v>
      </c>
      <c r="D316" s="10">
        <v>280653.53999999998</v>
      </c>
      <c r="E316" t="s">
        <v>35</v>
      </c>
      <c r="F316">
        <v>0</v>
      </c>
      <c r="H316">
        <v>0</v>
      </c>
      <c r="J316" s="10">
        <v>280653.53999999998</v>
      </c>
      <c r="K316" t="s">
        <v>35</v>
      </c>
      <c r="L316" s="1">
        <f t="shared" si="4"/>
        <v>-280653.53999999998</v>
      </c>
      <c r="N316" s="6" t="str">
        <f>IF(ISERROR(VLOOKUP($A316,'Plano de Contas'!#REF!,8,FALSE)),"",VLOOKUP($A316,'Plano de Contas'!#REF!,8,FALSE))</f>
        <v/>
      </c>
      <c r="P316" s="6" t="str">
        <f>IF(ISERROR(VLOOKUP($A316,'Plano de Contas'!#REF!,10,FALSE)),"",VLOOKUP($A316,'Plano de Contas'!#REF!,10,FALSE))</f>
        <v/>
      </c>
    </row>
    <row r="317" spans="1:16" x14ac:dyDescent="0.25">
      <c r="A317" t="s">
        <v>561</v>
      </c>
      <c r="B317">
        <v>512</v>
      </c>
      <c r="C317" t="s">
        <v>562</v>
      </c>
      <c r="D317" s="10">
        <v>143659.29</v>
      </c>
      <c r="E317" t="s">
        <v>35</v>
      </c>
      <c r="F317">
        <v>0</v>
      </c>
      <c r="H317">
        <v>0</v>
      </c>
      <c r="J317" s="10">
        <v>143659.29</v>
      </c>
      <c r="K317" t="s">
        <v>35</v>
      </c>
      <c r="L317" s="1">
        <f t="shared" si="4"/>
        <v>-143659.29</v>
      </c>
      <c r="N317" s="6" t="str">
        <f>IF(ISERROR(VLOOKUP($A317,'Plano de Contas'!#REF!,8,FALSE)),"",VLOOKUP($A317,'Plano de Contas'!#REF!,8,FALSE))</f>
        <v/>
      </c>
      <c r="P317" s="6" t="str">
        <f>IF(ISERROR(VLOOKUP($A317,'Plano de Contas'!#REF!,10,FALSE)),"",VLOOKUP($A317,'Plano de Contas'!#REF!,10,FALSE))</f>
        <v/>
      </c>
    </row>
    <row r="318" spans="1:16" x14ac:dyDescent="0.25">
      <c r="A318" t="s">
        <v>563</v>
      </c>
      <c r="B318">
        <v>627</v>
      </c>
      <c r="C318" t="s">
        <v>564</v>
      </c>
      <c r="D318">
        <v>750</v>
      </c>
      <c r="E318" t="s">
        <v>35</v>
      </c>
      <c r="F318">
        <v>0</v>
      </c>
      <c r="H318">
        <v>0</v>
      </c>
      <c r="J318">
        <v>750</v>
      </c>
      <c r="K318" t="s">
        <v>35</v>
      </c>
      <c r="L318" s="1">
        <f t="shared" si="4"/>
        <v>-750</v>
      </c>
      <c r="N318" s="6" t="str">
        <f>IF(ISERROR(VLOOKUP($A318,'Plano de Contas'!#REF!,8,FALSE)),"",VLOOKUP($A318,'Plano de Contas'!#REF!,8,FALSE))</f>
        <v/>
      </c>
      <c r="P318" s="6" t="str">
        <f>IF(ISERROR(VLOOKUP($A318,'Plano de Contas'!#REF!,10,FALSE)),"",VLOOKUP($A318,'Plano de Contas'!#REF!,10,FALSE))</f>
        <v/>
      </c>
    </row>
    <row r="319" spans="1:16" x14ac:dyDescent="0.25">
      <c r="A319" t="s">
        <v>565</v>
      </c>
      <c r="B319">
        <v>147</v>
      </c>
      <c r="C319" t="s">
        <v>566</v>
      </c>
      <c r="D319" s="10">
        <v>682319.41</v>
      </c>
      <c r="E319" t="s">
        <v>35</v>
      </c>
      <c r="F319" s="10">
        <v>198996.16</v>
      </c>
      <c r="H319" s="10">
        <v>278295.37</v>
      </c>
      <c r="I319" t="s">
        <v>35</v>
      </c>
      <c r="J319" s="10">
        <v>761618.62</v>
      </c>
      <c r="K319" t="s">
        <v>35</v>
      </c>
      <c r="L319" s="1">
        <f t="shared" si="4"/>
        <v>-761618.62</v>
      </c>
      <c r="N319" s="6" t="str">
        <f>IF(ISERROR(VLOOKUP($A319,'Plano de Contas'!#REF!,8,FALSE)),"",VLOOKUP($A319,'Plano de Contas'!#REF!,8,FALSE))</f>
        <v/>
      </c>
      <c r="P319" s="6" t="str">
        <f>IF(ISERROR(VLOOKUP($A319,'Plano de Contas'!#REF!,10,FALSE)),"",VLOOKUP($A319,'Plano de Contas'!#REF!,10,FALSE))</f>
        <v/>
      </c>
    </row>
    <row r="320" spans="1:16" x14ac:dyDescent="0.25">
      <c r="L320" s="1">
        <f t="shared" si="4"/>
        <v>0</v>
      </c>
      <c r="N320" s="6" t="str">
        <f>IF(ISERROR(VLOOKUP($A320,'Plano de Contas'!#REF!,8,FALSE)),"",VLOOKUP($A320,'Plano de Contas'!#REF!,8,FALSE))</f>
        <v/>
      </c>
      <c r="P320" s="6" t="str">
        <f>IF(ISERROR(VLOOKUP($A320,'Plano de Contas'!#REF!,10,FALSE)),"",VLOOKUP($A320,'Plano de Contas'!#REF!,10,FALSE))</f>
        <v/>
      </c>
    </row>
    <row r="321" spans="1:16" x14ac:dyDescent="0.25">
      <c r="A321" t="s">
        <v>567</v>
      </c>
      <c r="B321">
        <v>148</v>
      </c>
      <c r="C321" t="s">
        <v>568</v>
      </c>
      <c r="D321" s="10">
        <v>14975625.140000001</v>
      </c>
      <c r="E321" t="s">
        <v>35</v>
      </c>
      <c r="F321">
        <v>0</v>
      </c>
      <c r="H321" s="10">
        <v>302296.44</v>
      </c>
      <c r="I321" t="s">
        <v>35</v>
      </c>
      <c r="J321" s="10">
        <v>15277921.58</v>
      </c>
      <c r="K321" t="s">
        <v>35</v>
      </c>
      <c r="L321" s="1">
        <f t="shared" si="4"/>
        <v>-15277921.58</v>
      </c>
      <c r="N321" s="6" t="str">
        <f>IF(ISERROR(VLOOKUP($A321,'Plano de Contas'!#REF!,8,FALSE)),"",VLOOKUP($A321,'Plano de Contas'!#REF!,8,FALSE))</f>
        <v/>
      </c>
      <c r="P321" s="6" t="str">
        <f>IF(ISERROR(VLOOKUP($A321,'Plano de Contas'!#REF!,10,FALSE)),"",VLOOKUP($A321,'Plano de Contas'!#REF!,10,FALSE))</f>
        <v/>
      </c>
    </row>
    <row r="322" spans="1:16" x14ac:dyDescent="0.25">
      <c r="A322" t="s">
        <v>569</v>
      </c>
      <c r="B322">
        <v>921</v>
      </c>
      <c r="C322" t="s">
        <v>570</v>
      </c>
      <c r="D322" s="10">
        <v>14975625.140000001</v>
      </c>
      <c r="E322" t="s">
        <v>35</v>
      </c>
      <c r="F322">
        <v>0</v>
      </c>
      <c r="H322" s="10">
        <v>302296.44</v>
      </c>
      <c r="I322" t="s">
        <v>35</v>
      </c>
      <c r="J322" s="10">
        <v>15277921.58</v>
      </c>
      <c r="K322" t="s">
        <v>35</v>
      </c>
      <c r="L322" s="1">
        <f t="shared" si="4"/>
        <v>-15277921.58</v>
      </c>
      <c r="N322" s="6" t="str">
        <f>IF(ISERROR(VLOOKUP($A322,'Plano de Contas'!#REF!,8,FALSE)),"",VLOOKUP($A322,'Plano de Contas'!#REF!,8,FALSE))</f>
        <v/>
      </c>
      <c r="P322" s="6" t="str">
        <f>IF(ISERROR(VLOOKUP($A322,'Plano de Contas'!#REF!,10,FALSE)),"",VLOOKUP($A322,'Plano de Contas'!#REF!,10,FALSE))</f>
        <v/>
      </c>
    </row>
    <row r="323" spans="1:16" x14ac:dyDescent="0.25">
      <c r="L323" s="1">
        <f t="shared" si="4"/>
        <v>0</v>
      </c>
      <c r="N323" s="6" t="str">
        <f>IF(ISERROR(VLOOKUP($A323,'Plano de Contas'!#REF!,8,FALSE)),"",VLOOKUP($A323,'Plano de Contas'!#REF!,8,FALSE))</f>
        <v/>
      </c>
      <c r="P323" s="6" t="str">
        <f>IF(ISERROR(VLOOKUP($A323,'Plano de Contas'!#REF!,10,FALSE)),"",VLOOKUP($A323,'Plano de Contas'!#REF!,10,FALSE))</f>
        <v/>
      </c>
    </row>
    <row r="324" spans="1:16" x14ac:dyDescent="0.25">
      <c r="A324" t="s">
        <v>571</v>
      </c>
      <c r="B324">
        <v>149</v>
      </c>
      <c r="C324" t="s">
        <v>572</v>
      </c>
      <c r="D324" s="10">
        <v>2191543.41</v>
      </c>
      <c r="E324" t="s">
        <v>35</v>
      </c>
      <c r="F324" s="10">
        <v>1873694.18</v>
      </c>
      <c r="H324" s="10">
        <v>440195.98</v>
      </c>
      <c r="I324" t="s">
        <v>35</v>
      </c>
      <c r="J324" s="10">
        <v>758045.21</v>
      </c>
      <c r="K324" t="s">
        <v>35</v>
      </c>
      <c r="L324" s="1">
        <f t="shared" si="4"/>
        <v>-758045.21</v>
      </c>
      <c r="N324" s="6" t="str">
        <f>IF(ISERROR(VLOOKUP($A324,'Plano de Contas'!#REF!,8,FALSE)),"",VLOOKUP($A324,'Plano de Contas'!#REF!,8,FALSE))</f>
        <v/>
      </c>
      <c r="P324" s="6" t="str">
        <f>IF(ISERROR(VLOOKUP($A324,'Plano de Contas'!#REF!,10,FALSE)),"",VLOOKUP($A324,'Plano de Contas'!#REF!,10,FALSE))</f>
        <v/>
      </c>
    </row>
    <row r="325" spans="1:16" x14ac:dyDescent="0.25">
      <c r="A325" t="s">
        <v>573</v>
      </c>
      <c r="B325">
        <v>150</v>
      </c>
      <c r="C325" t="s">
        <v>574</v>
      </c>
      <c r="D325" s="10">
        <v>-284447.19</v>
      </c>
      <c r="F325" s="10">
        <v>113338.16</v>
      </c>
      <c r="H325" s="10">
        <v>-136019.29</v>
      </c>
      <c r="J325" s="10">
        <v>-307128.32000000001</v>
      </c>
      <c r="L325" s="1">
        <f t="shared" si="4"/>
        <v>-307128.32000000001</v>
      </c>
      <c r="N325" s="6" t="str">
        <f>IF(ISERROR(VLOOKUP($A325,'Plano de Contas'!#REF!,8,FALSE)),"",VLOOKUP($A325,'Plano de Contas'!#REF!,8,FALSE))</f>
        <v/>
      </c>
      <c r="P325" s="6" t="str">
        <f>IF(ISERROR(VLOOKUP($A325,'Plano de Contas'!#REF!,10,FALSE)),"",VLOOKUP($A325,'Plano de Contas'!#REF!,10,FALSE))</f>
        <v/>
      </c>
    </row>
    <row r="326" spans="1:16" x14ac:dyDescent="0.25">
      <c r="A326" t="s">
        <v>575</v>
      </c>
      <c r="B326">
        <v>151</v>
      </c>
      <c r="C326" t="s">
        <v>576</v>
      </c>
      <c r="D326" s="10">
        <v>-339420.74</v>
      </c>
      <c r="F326" s="10">
        <v>23984.6</v>
      </c>
      <c r="H326" s="10">
        <v>-37564.79</v>
      </c>
      <c r="J326" s="10">
        <v>-353000.93</v>
      </c>
      <c r="L326" s="1">
        <f t="shared" si="4"/>
        <v>-353000.93</v>
      </c>
      <c r="N326" s="6" t="str">
        <f>IF(ISERROR(VLOOKUP($A326,'Plano de Contas'!#REF!,8,FALSE)),"",VLOOKUP($A326,'Plano de Contas'!#REF!,8,FALSE))</f>
        <v/>
      </c>
      <c r="P326" s="6" t="str">
        <f>IF(ISERROR(VLOOKUP($A326,'Plano de Contas'!#REF!,10,FALSE)),"",VLOOKUP($A326,'Plano de Contas'!#REF!,10,FALSE))</f>
        <v/>
      </c>
    </row>
    <row r="327" spans="1:16" x14ac:dyDescent="0.25">
      <c r="A327" t="s">
        <v>577</v>
      </c>
      <c r="B327">
        <v>152</v>
      </c>
      <c r="C327" t="s">
        <v>578</v>
      </c>
      <c r="D327" s="10">
        <v>-94063.47</v>
      </c>
      <c r="F327" s="10">
        <v>6804.14</v>
      </c>
      <c r="H327" s="10">
        <v>-10656.63</v>
      </c>
      <c r="J327" s="10">
        <v>-97915.96</v>
      </c>
      <c r="L327" s="1">
        <f t="shared" si="4"/>
        <v>-97915.96</v>
      </c>
      <c r="N327" s="6" t="str">
        <f>IF(ISERROR(VLOOKUP($A327,'Plano de Contas'!#REF!,8,FALSE)),"",VLOOKUP($A327,'Plano de Contas'!#REF!,8,FALSE))</f>
        <v/>
      </c>
      <c r="P327" s="6" t="str">
        <f>IF(ISERROR(VLOOKUP($A327,'Plano de Contas'!#REF!,10,FALSE)),"",VLOOKUP($A327,'Plano de Contas'!#REF!,10,FALSE))</f>
        <v/>
      </c>
    </row>
    <row r="328" spans="1:16" x14ac:dyDescent="0.25">
      <c r="A328" t="s">
        <v>579</v>
      </c>
      <c r="B328">
        <v>153</v>
      </c>
      <c r="C328" t="s">
        <v>580</v>
      </c>
      <c r="D328" s="10">
        <v>-1082144.99</v>
      </c>
      <c r="F328" s="10">
        <v>1305522.8799999999</v>
      </c>
      <c r="H328" s="10">
        <v>-223377.89</v>
      </c>
      <c r="J328">
        <v>0</v>
      </c>
      <c r="L328" s="1">
        <f t="shared" ref="L328:L391" si="5">IF(K328="-",-J328,J328)</f>
        <v>0</v>
      </c>
      <c r="N328" s="6" t="str">
        <f>IF(ISERROR(VLOOKUP($A328,'Plano de Contas'!#REF!,8,FALSE)),"",VLOOKUP($A328,'Plano de Contas'!#REF!,8,FALSE))</f>
        <v/>
      </c>
      <c r="P328" s="6" t="str">
        <f>IF(ISERROR(VLOOKUP($A328,'Plano de Contas'!#REF!,10,FALSE)),"",VLOOKUP($A328,'Plano de Contas'!#REF!,10,FALSE))</f>
        <v/>
      </c>
    </row>
    <row r="329" spans="1:16" x14ac:dyDescent="0.25">
      <c r="A329" t="s">
        <v>581</v>
      </c>
      <c r="B329">
        <v>154</v>
      </c>
      <c r="C329" t="s">
        <v>582</v>
      </c>
      <c r="D329" s="10">
        <v>-304954.82</v>
      </c>
      <c r="F329" s="10">
        <v>330332.82</v>
      </c>
      <c r="H329" s="10">
        <v>-25378</v>
      </c>
      <c r="J329">
        <v>0</v>
      </c>
      <c r="L329" s="1">
        <f t="shared" si="5"/>
        <v>0</v>
      </c>
      <c r="N329" s="6" t="str">
        <f>IF(ISERROR(VLOOKUP($A329,'Plano de Contas'!#REF!,8,FALSE)),"",VLOOKUP($A329,'Plano de Contas'!#REF!,8,FALSE))</f>
        <v/>
      </c>
      <c r="P329" s="6" t="str">
        <f>IF(ISERROR(VLOOKUP($A329,'Plano de Contas'!#REF!,10,FALSE)),"",VLOOKUP($A329,'Plano de Contas'!#REF!,10,FALSE))</f>
        <v/>
      </c>
    </row>
    <row r="330" spans="1:16" x14ac:dyDescent="0.25">
      <c r="A330" t="s">
        <v>583</v>
      </c>
      <c r="B330">
        <v>155</v>
      </c>
      <c r="C330" t="s">
        <v>584</v>
      </c>
      <c r="D330" s="10">
        <v>-86512.2</v>
      </c>
      <c r="F330" s="10">
        <v>93711.58</v>
      </c>
      <c r="H330" s="10">
        <v>-7199.38</v>
      </c>
      <c r="J330">
        <v>0</v>
      </c>
      <c r="L330" s="1">
        <f t="shared" si="5"/>
        <v>0</v>
      </c>
      <c r="N330" s="6" t="str">
        <f>IF(ISERROR(VLOOKUP($A330,'Plano de Contas'!#REF!,8,FALSE)),"",VLOOKUP($A330,'Plano de Contas'!#REF!,8,FALSE))</f>
        <v/>
      </c>
      <c r="P330" s="6" t="str">
        <f>IF(ISERROR(VLOOKUP($A330,'Plano de Contas'!#REF!,10,FALSE)),"",VLOOKUP($A330,'Plano de Contas'!#REF!,10,FALSE))</f>
        <v/>
      </c>
    </row>
    <row r="331" spans="1:16" x14ac:dyDescent="0.25">
      <c r="L331" s="1">
        <f t="shared" si="5"/>
        <v>0</v>
      </c>
      <c r="N331" s="6" t="str">
        <f>IF(ISERROR(VLOOKUP($A331,'Plano de Contas'!#REF!,8,FALSE)),"",VLOOKUP($A331,'Plano de Contas'!#REF!,8,FALSE))</f>
        <v/>
      </c>
      <c r="P331" s="6" t="str">
        <f>IF(ISERROR(VLOOKUP($A331,'Plano de Contas'!#REF!,10,FALSE)),"",VLOOKUP($A331,'Plano de Contas'!#REF!,10,FALSE))</f>
        <v/>
      </c>
    </row>
    <row r="332" spans="1:16" x14ac:dyDescent="0.25">
      <c r="A332" t="s">
        <v>585</v>
      </c>
      <c r="B332">
        <v>156</v>
      </c>
      <c r="C332" t="s">
        <v>586</v>
      </c>
      <c r="D332" s="10">
        <v>293162.25</v>
      </c>
      <c r="E332" t="s">
        <v>35</v>
      </c>
      <c r="F332" s="10">
        <v>24633.45</v>
      </c>
      <c r="H332">
        <v>0</v>
      </c>
      <c r="J332" s="10">
        <v>268528.8</v>
      </c>
      <c r="K332" t="s">
        <v>35</v>
      </c>
      <c r="L332" s="1">
        <f t="shared" si="5"/>
        <v>-268528.8</v>
      </c>
      <c r="N332" s="6" t="str">
        <f>IF(ISERROR(VLOOKUP($A332,'Plano de Contas'!#REF!,8,FALSE)),"",VLOOKUP($A332,'Plano de Contas'!#REF!,8,FALSE))</f>
        <v/>
      </c>
      <c r="P332" s="6" t="str">
        <f>IF(ISERROR(VLOOKUP($A332,'Plano de Contas'!#REF!,10,FALSE)),"",VLOOKUP($A332,'Plano de Contas'!#REF!,10,FALSE))</f>
        <v/>
      </c>
    </row>
    <row r="333" spans="1:16" x14ac:dyDescent="0.25">
      <c r="A333" t="s">
        <v>587</v>
      </c>
      <c r="B333">
        <v>686</v>
      </c>
      <c r="C333" t="s">
        <v>588</v>
      </c>
      <c r="D333" s="10">
        <v>191625.57</v>
      </c>
      <c r="E333" t="s">
        <v>35</v>
      </c>
      <c r="F333" s="10">
        <v>10128.209999999999</v>
      </c>
      <c r="H333">
        <v>0</v>
      </c>
      <c r="J333" s="10">
        <v>181497.36</v>
      </c>
      <c r="K333" t="s">
        <v>35</v>
      </c>
      <c r="L333" s="1">
        <f t="shared" si="5"/>
        <v>-181497.36</v>
      </c>
      <c r="N333" s="6" t="str">
        <f>IF(ISERROR(VLOOKUP($A333,'Plano de Contas'!#REF!,8,FALSE)),"",VLOOKUP($A333,'Plano de Contas'!#REF!,8,FALSE))</f>
        <v/>
      </c>
      <c r="P333" s="6" t="str">
        <f>IF(ISERROR(VLOOKUP($A333,'Plano de Contas'!#REF!,10,FALSE)),"",VLOOKUP($A333,'Plano de Contas'!#REF!,10,FALSE))</f>
        <v/>
      </c>
    </row>
    <row r="334" spans="1:16" x14ac:dyDescent="0.25">
      <c r="A334" t="s">
        <v>589</v>
      </c>
      <c r="B334">
        <v>689</v>
      </c>
      <c r="C334" t="s">
        <v>590</v>
      </c>
      <c r="D334" s="10">
        <v>101536.68</v>
      </c>
      <c r="E334" t="s">
        <v>35</v>
      </c>
      <c r="F334" s="10">
        <v>14505.24</v>
      </c>
      <c r="H334">
        <v>0</v>
      </c>
      <c r="J334" s="10">
        <v>87031.44</v>
      </c>
      <c r="K334" t="s">
        <v>35</v>
      </c>
      <c r="L334" s="1">
        <f t="shared" si="5"/>
        <v>-87031.44</v>
      </c>
      <c r="N334" s="6" t="str">
        <f>IF(ISERROR(VLOOKUP($A334,'Plano de Contas'!#REF!,8,FALSE)),"",VLOOKUP($A334,'Plano de Contas'!#REF!,8,FALSE))</f>
        <v/>
      </c>
      <c r="P334" s="6" t="str">
        <f>IF(ISERROR(VLOOKUP($A334,'Plano de Contas'!#REF!,10,FALSE)),"",VLOOKUP($A334,'Plano de Contas'!#REF!,10,FALSE))</f>
        <v/>
      </c>
    </row>
    <row r="335" spans="1:16" x14ac:dyDescent="0.25">
      <c r="L335" s="1">
        <f t="shared" si="5"/>
        <v>0</v>
      </c>
      <c r="N335" s="6" t="str">
        <f>IF(ISERROR(VLOOKUP($A335,'Plano de Contas'!#REF!,8,FALSE)),"",VLOOKUP($A335,'Plano de Contas'!#REF!,8,FALSE))</f>
        <v/>
      </c>
      <c r="P335" s="6" t="str">
        <f>IF(ISERROR(VLOOKUP($A335,'Plano de Contas'!#REF!,10,FALSE)),"",VLOOKUP($A335,'Plano de Contas'!#REF!,10,FALSE))</f>
        <v/>
      </c>
    </row>
    <row r="336" spans="1:16" x14ac:dyDescent="0.25">
      <c r="A336" t="s">
        <v>591</v>
      </c>
      <c r="B336">
        <v>157</v>
      </c>
      <c r="C336" t="s">
        <v>592</v>
      </c>
      <c r="D336" s="10">
        <v>2521636.75</v>
      </c>
      <c r="E336" t="s">
        <v>35</v>
      </c>
      <c r="F336">
        <v>0</v>
      </c>
      <c r="H336">
        <v>0</v>
      </c>
      <c r="J336" s="10">
        <v>2521636.75</v>
      </c>
      <c r="K336" t="s">
        <v>35</v>
      </c>
      <c r="L336" s="1">
        <f t="shared" si="5"/>
        <v>-2521636.75</v>
      </c>
      <c r="N336" s="6" t="str">
        <f>IF(ISERROR(VLOOKUP($A336,'Plano de Contas'!#REF!,8,FALSE)),"",VLOOKUP($A336,'Plano de Contas'!#REF!,8,FALSE))</f>
        <v/>
      </c>
      <c r="P336" s="6" t="str">
        <f>IF(ISERROR(VLOOKUP($A336,'Plano de Contas'!#REF!,10,FALSE)),"",VLOOKUP($A336,'Plano de Contas'!#REF!,10,FALSE))</f>
        <v/>
      </c>
    </row>
    <row r="337" spans="1:16" x14ac:dyDescent="0.25">
      <c r="A337" t="s">
        <v>593</v>
      </c>
      <c r="B337">
        <v>325</v>
      </c>
      <c r="C337" t="s">
        <v>594</v>
      </c>
      <c r="D337" s="10">
        <v>2521636.75</v>
      </c>
      <c r="E337" t="s">
        <v>35</v>
      </c>
      <c r="F337">
        <v>0</v>
      </c>
      <c r="H337">
        <v>0</v>
      </c>
      <c r="J337" s="10">
        <v>2521636.75</v>
      </c>
      <c r="K337" t="s">
        <v>35</v>
      </c>
      <c r="L337" s="1">
        <f t="shared" si="5"/>
        <v>-2521636.75</v>
      </c>
      <c r="N337" s="6" t="str">
        <f>IF(ISERROR(VLOOKUP($A337,'Plano de Contas'!#REF!,8,FALSE)),"",VLOOKUP($A337,'Plano de Contas'!#REF!,8,FALSE))</f>
        <v/>
      </c>
      <c r="P337" s="6" t="str">
        <f>IF(ISERROR(VLOOKUP($A337,'Plano de Contas'!#REF!,10,FALSE)),"",VLOOKUP($A337,'Plano de Contas'!#REF!,10,FALSE))</f>
        <v/>
      </c>
    </row>
    <row r="338" spans="1:16" x14ac:dyDescent="0.25">
      <c r="L338" s="1">
        <f t="shared" si="5"/>
        <v>0</v>
      </c>
      <c r="N338" s="6" t="str">
        <f>IF(ISERROR(VLOOKUP($A338,'Plano de Contas'!#REF!,8,FALSE)),"",VLOOKUP($A338,'Plano de Contas'!#REF!,8,FALSE))</f>
        <v/>
      </c>
      <c r="P338" s="6" t="str">
        <f>IF(ISERROR(VLOOKUP($A338,'Plano de Contas'!#REF!,10,FALSE)),"",VLOOKUP($A338,'Plano de Contas'!#REF!,10,FALSE))</f>
        <v/>
      </c>
    </row>
    <row r="339" spans="1:16" x14ac:dyDescent="0.25">
      <c r="A339" t="s">
        <v>595</v>
      </c>
      <c r="B339">
        <v>158</v>
      </c>
      <c r="C339" t="s">
        <v>596</v>
      </c>
      <c r="D339" s="10">
        <v>734408.68</v>
      </c>
      <c r="E339" t="s">
        <v>35</v>
      </c>
      <c r="F339" s="10">
        <v>646727.02</v>
      </c>
      <c r="H339" s="10">
        <v>130148.22</v>
      </c>
      <c r="I339" t="s">
        <v>35</v>
      </c>
      <c r="J339" s="10">
        <v>217829.88</v>
      </c>
      <c r="K339" t="s">
        <v>35</v>
      </c>
      <c r="L339" s="1">
        <f t="shared" si="5"/>
        <v>-217829.88</v>
      </c>
      <c r="N339" s="6" t="str">
        <f>IF(ISERROR(VLOOKUP($A339,'Plano de Contas'!#REF!,8,FALSE)),"",VLOOKUP($A339,'Plano de Contas'!#REF!,8,FALSE))</f>
        <v/>
      </c>
      <c r="P339" s="6" t="str">
        <f>IF(ISERROR(VLOOKUP($A339,'Plano de Contas'!#REF!,10,FALSE)),"",VLOOKUP($A339,'Plano de Contas'!#REF!,10,FALSE))</f>
        <v/>
      </c>
    </row>
    <row r="340" spans="1:16" x14ac:dyDescent="0.25">
      <c r="A340" t="s">
        <v>597</v>
      </c>
      <c r="B340">
        <v>326</v>
      </c>
      <c r="C340" t="s">
        <v>598</v>
      </c>
      <c r="D340" s="10">
        <v>620004.43000000005</v>
      </c>
      <c r="E340" t="s">
        <v>35</v>
      </c>
      <c r="F340" s="10">
        <v>646727.02</v>
      </c>
      <c r="H340" s="10">
        <v>127148.22</v>
      </c>
      <c r="I340" t="s">
        <v>35</v>
      </c>
      <c r="J340" s="10">
        <v>100425.63</v>
      </c>
      <c r="K340" t="s">
        <v>35</v>
      </c>
      <c r="L340" s="1">
        <f t="shared" si="5"/>
        <v>-100425.63</v>
      </c>
      <c r="N340" s="6" t="str">
        <f>IF(ISERROR(VLOOKUP($A340,'Plano de Contas'!#REF!,8,FALSE)),"",VLOOKUP($A340,'Plano de Contas'!#REF!,8,FALSE))</f>
        <v/>
      </c>
      <c r="P340" s="6" t="str">
        <f>IF(ISERROR(VLOOKUP($A340,'Plano de Contas'!#REF!,10,FALSE)),"",VLOOKUP($A340,'Plano de Contas'!#REF!,10,FALSE))</f>
        <v/>
      </c>
    </row>
    <row r="341" spans="1:16" x14ac:dyDescent="0.25">
      <c r="A341" t="s">
        <v>599</v>
      </c>
      <c r="B341">
        <v>923</v>
      </c>
      <c r="C341" t="s">
        <v>600</v>
      </c>
      <c r="D341" s="10">
        <v>-114404.25</v>
      </c>
      <c r="F341">
        <v>0</v>
      </c>
      <c r="H341" s="10">
        <v>-3000</v>
      </c>
      <c r="J341" s="10">
        <v>-117404.25</v>
      </c>
      <c r="L341" s="1">
        <f t="shared" si="5"/>
        <v>-117404.25</v>
      </c>
      <c r="N341" s="6" t="str">
        <f>IF(ISERROR(VLOOKUP($A341,'Plano de Contas'!#REF!,8,FALSE)),"",VLOOKUP($A341,'Plano de Contas'!#REF!,8,FALSE))</f>
        <v/>
      </c>
      <c r="P341" s="6" t="str">
        <f>IF(ISERROR(VLOOKUP($A341,'Plano de Contas'!#REF!,10,FALSE)),"",VLOOKUP($A341,'Plano de Contas'!#REF!,10,FALSE))</f>
        <v/>
      </c>
    </row>
    <row r="342" spans="1:16" x14ac:dyDescent="0.25">
      <c r="L342" s="1">
        <f t="shared" si="5"/>
        <v>0</v>
      </c>
      <c r="N342" s="6" t="str">
        <f>IF(ISERROR(VLOOKUP($A342,'Plano de Contas'!#REF!,8,FALSE)),"",VLOOKUP($A342,'Plano de Contas'!#REF!,8,FALSE))</f>
        <v/>
      </c>
      <c r="P342" s="6" t="str">
        <f>IF(ISERROR(VLOOKUP($A342,'Plano de Contas'!#REF!,10,FALSE)),"",VLOOKUP($A342,'Plano de Contas'!#REF!,10,FALSE))</f>
        <v/>
      </c>
    </row>
    <row r="343" spans="1:16" x14ac:dyDescent="0.25">
      <c r="A343" t="s">
        <v>601</v>
      </c>
      <c r="B343">
        <v>432</v>
      </c>
      <c r="C343" t="s">
        <v>602</v>
      </c>
      <c r="D343" s="10">
        <v>1353818.87</v>
      </c>
      <c r="E343" t="s">
        <v>35</v>
      </c>
      <c r="F343" s="10">
        <v>198886.92</v>
      </c>
      <c r="H343" s="10">
        <v>28447.48</v>
      </c>
      <c r="I343" t="s">
        <v>35</v>
      </c>
      <c r="J343" s="10">
        <v>1183379.43</v>
      </c>
      <c r="K343" t="s">
        <v>35</v>
      </c>
      <c r="L343" s="1">
        <f t="shared" si="5"/>
        <v>-1183379.43</v>
      </c>
      <c r="N343" s="6" t="str">
        <f>IF(ISERROR(VLOOKUP($A343,'Plano de Contas'!#REF!,8,FALSE)),"",VLOOKUP($A343,'Plano de Contas'!#REF!,8,FALSE))</f>
        <v/>
      </c>
      <c r="P343" s="6" t="str">
        <f>IF(ISERROR(VLOOKUP($A343,'Plano de Contas'!#REF!,10,FALSE)),"",VLOOKUP($A343,'Plano de Contas'!#REF!,10,FALSE))</f>
        <v/>
      </c>
    </row>
    <row r="344" spans="1:16" x14ac:dyDescent="0.25">
      <c r="A344" t="s">
        <v>603</v>
      </c>
      <c r="B344">
        <v>433</v>
      </c>
      <c r="C344" t="s">
        <v>604</v>
      </c>
      <c r="D344" s="10">
        <v>1137241.27</v>
      </c>
      <c r="E344" t="s">
        <v>35</v>
      </c>
      <c r="F344" s="10">
        <v>198886.92</v>
      </c>
      <c r="H344" s="10">
        <v>28447.48</v>
      </c>
      <c r="I344" t="s">
        <v>35</v>
      </c>
      <c r="J344" s="10">
        <v>966801.83</v>
      </c>
      <c r="K344" t="s">
        <v>35</v>
      </c>
      <c r="L344" s="1">
        <f t="shared" si="5"/>
        <v>-966801.83</v>
      </c>
      <c r="N344" s="6" t="str">
        <f>IF(ISERROR(VLOOKUP($A344,'Plano de Contas'!#REF!,8,FALSE)),"",VLOOKUP($A344,'Plano de Contas'!#REF!,8,FALSE))</f>
        <v/>
      </c>
      <c r="P344" s="6" t="str">
        <f>IF(ISERROR(VLOOKUP($A344,'Plano de Contas'!#REF!,10,FALSE)),"",VLOOKUP($A344,'Plano de Contas'!#REF!,10,FALSE))</f>
        <v/>
      </c>
    </row>
    <row r="345" spans="1:16" x14ac:dyDescent="0.25">
      <c r="A345" t="s">
        <v>605</v>
      </c>
      <c r="B345">
        <v>669</v>
      </c>
      <c r="C345" t="s">
        <v>606</v>
      </c>
      <c r="D345" s="10">
        <v>216577.6</v>
      </c>
      <c r="E345" t="s">
        <v>35</v>
      </c>
      <c r="F345">
        <v>0</v>
      </c>
      <c r="H345">
        <v>0</v>
      </c>
      <c r="J345" s="10">
        <v>216577.6</v>
      </c>
      <c r="K345" t="s">
        <v>35</v>
      </c>
      <c r="L345" s="1">
        <f t="shared" si="5"/>
        <v>-216577.6</v>
      </c>
      <c r="N345" s="6" t="str">
        <f>IF(ISERROR(VLOOKUP($A345,'Plano de Contas'!#REF!,8,FALSE)),"",VLOOKUP($A345,'Plano de Contas'!#REF!,8,FALSE))</f>
        <v/>
      </c>
      <c r="P345" s="6" t="str">
        <f>IF(ISERROR(VLOOKUP($A345,'Plano de Contas'!#REF!,10,FALSE)),"",VLOOKUP($A345,'Plano de Contas'!#REF!,10,FALSE))</f>
        <v/>
      </c>
    </row>
    <row r="346" spans="1:16" x14ac:dyDescent="0.25">
      <c r="L346" s="1">
        <f t="shared" si="5"/>
        <v>0</v>
      </c>
      <c r="N346" s="6" t="str">
        <f>IF(ISERROR(VLOOKUP($A346,'Plano de Contas'!#REF!,8,FALSE)),"",VLOOKUP($A346,'Plano de Contas'!#REF!,8,FALSE))</f>
        <v/>
      </c>
      <c r="P346" s="6" t="str">
        <f>IF(ISERROR(VLOOKUP($A346,'Plano de Contas'!#REF!,10,FALSE)),"",VLOOKUP($A346,'Plano de Contas'!#REF!,10,FALSE))</f>
        <v/>
      </c>
    </row>
    <row r="347" spans="1:16" x14ac:dyDescent="0.25">
      <c r="A347" t="s">
        <v>608</v>
      </c>
      <c r="B347">
        <v>159</v>
      </c>
      <c r="C347" t="s">
        <v>609</v>
      </c>
      <c r="D347" s="10">
        <v>977387.18</v>
      </c>
      <c r="E347" t="s">
        <v>35</v>
      </c>
      <c r="F347" s="10">
        <v>53833.62</v>
      </c>
      <c r="H347" s="10">
        <v>27281.33</v>
      </c>
      <c r="I347" t="s">
        <v>35</v>
      </c>
      <c r="J347" s="10">
        <v>950834.89</v>
      </c>
      <c r="K347" t="s">
        <v>35</v>
      </c>
      <c r="L347" s="1">
        <f t="shared" si="5"/>
        <v>-950834.89</v>
      </c>
      <c r="N347" s="6" t="str">
        <f>IF(ISERROR(VLOOKUP($A347,'Plano de Contas'!#REF!,8,FALSE)),"",VLOOKUP($A347,'Plano de Contas'!#REF!,8,FALSE))</f>
        <v/>
      </c>
      <c r="P347" s="6" t="str">
        <f>IF(ISERROR(VLOOKUP($A347,'Plano de Contas'!#REF!,10,FALSE)),"",VLOOKUP($A347,'Plano de Contas'!#REF!,10,FALSE))</f>
        <v/>
      </c>
    </row>
    <row r="348" spans="1:16" x14ac:dyDescent="0.25">
      <c r="A348" t="s">
        <v>610</v>
      </c>
      <c r="B348">
        <v>160</v>
      </c>
      <c r="C348" t="s">
        <v>611</v>
      </c>
      <c r="D348" s="10">
        <v>-38879.480000000003</v>
      </c>
      <c r="F348">
        <v>0</v>
      </c>
      <c r="H348">
        <v>0</v>
      </c>
      <c r="J348" s="10">
        <v>-38879.480000000003</v>
      </c>
      <c r="L348" s="1">
        <f t="shared" si="5"/>
        <v>-38879.480000000003</v>
      </c>
      <c r="N348" s="6" t="str">
        <f>IF(ISERROR(VLOOKUP($A348,'Plano de Contas'!#REF!,8,FALSE)),"",VLOOKUP($A348,'Plano de Contas'!#REF!,8,FALSE))</f>
        <v/>
      </c>
      <c r="P348" s="6" t="str">
        <f>IF(ISERROR(VLOOKUP($A348,'Plano de Contas'!#REF!,10,FALSE)),"",VLOOKUP($A348,'Plano de Contas'!#REF!,10,FALSE))</f>
        <v/>
      </c>
    </row>
    <row r="349" spans="1:16" x14ac:dyDescent="0.25">
      <c r="A349" t="s">
        <v>612</v>
      </c>
      <c r="B349">
        <v>428</v>
      </c>
      <c r="C349" t="s">
        <v>613</v>
      </c>
      <c r="D349">
        <v>122.99</v>
      </c>
      <c r="E349" t="s">
        <v>35</v>
      </c>
      <c r="F349">
        <v>0</v>
      </c>
      <c r="H349">
        <v>0</v>
      </c>
      <c r="J349">
        <v>122.99</v>
      </c>
      <c r="K349" t="s">
        <v>35</v>
      </c>
      <c r="L349" s="1">
        <f t="shared" si="5"/>
        <v>-122.99</v>
      </c>
      <c r="N349" s="6" t="str">
        <f>IF(ISERROR(VLOOKUP($A349,'Plano de Contas'!#REF!,8,FALSE)),"",VLOOKUP($A349,'Plano de Contas'!#REF!,8,FALSE))</f>
        <v/>
      </c>
      <c r="P349" s="6" t="str">
        <f>IF(ISERROR(VLOOKUP($A349,'Plano de Contas'!#REF!,10,FALSE)),"",VLOOKUP($A349,'Plano de Contas'!#REF!,10,FALSE))</f>
        <v/>
      </c>
    </row>
    <row r="350" spans="1:16" x14ac:dyDescent="0.25">
      <c r="A350" t="s">
        <v>614</v>
      </c>
      <c r="B350">
        <v>548</v>
      </c>
      <c r="C350" t="s">
        <v>615</v>
      </c>
      <c r="D350">
        <v>0.34</v>
      </c>
      <c r="E350" t="s">
        <v>35</v>
      </c>
      <c r="F350">
        <v>0</v>
      </c>
      <c r="H350">
        <v>0</v>
      </c>
      <c r="J350">
        <v>0.34</v>
      </c>
      <c r="K350" t="s">
        <v>35</v>
      </c>
      <c r="L350" s="1">
        <f t="shared" si="5"/>
        <v>-0.34</v>
      </c>
      <c r="N350" s="6" t="str">
        <f>IF(ISERROR(VLOOKUP($A350,'Plano de Contas'!#REF!,8,FALSE)),"",VLOOKUP($A350,'Plano de Contas'!#REF!,8,FALSE))</f>
        <v/>
      </c>
      <c r="P350" s="6" t="str">
        <f>IF(ISERROR(VLOOKUP($A350,'Plano de Contas'!#REF!,10,FALSE)),"",VLOOKUP($A350,'Plano de Contas'!#REF!,10,FALSE))</f>
        <v/>
      </c>
    </row>
    <row r="351" spans="1:16" x14ac:dyDescent="0.25">
      <c r="A351" t="s">
        <v>616</v>
      </c>
      <c r="B351">
        <v>640</v>
      </c>
      <c r="C351" t="s">
        <v>617</v>
      </c>
      <c r="D351" s="10">
        <v>912120</v>
      </c>
      <c r="E351" t="s">
        <v>35</v>
      </c>
      <c r="F351">
        <v>0</v>
      </c>
      <c r="H351">
        <v>0</v>
      </c>
      <c r="J351" s="10">
        <v>912120</v>
      </c>
      <c r="K351" t="s">
        <v>35</v>
      </c>
      <c r="L351" s="1">
        <f t="shared" si="5"/>
        <v>-912120</v>
      </c>
      <c r="N351" s="6" t="str">
        <f>IF(ISERROR(VLOOKUP($A351,'Plano de Contas'!#REF!,8,FALSE)),"",VLOOKUP($A351,'Plano de Contas'!#REF!,8,FALSE))</f>
        <v/>
      </c>
      <c r="P351" s="6" t="str">
        <f>IF(ISERROR(VLOOKUP($A351,'Plano de Contas'!#REF!,10,FALSE)),"",VLOOKUP($A351,'Plano de Contas'!#REF!,10,FALSE))</f>
        <v/>
      </c>
    </row>
    <row r="352" spans="1:16" x14ac:dyDescent="0.25">
      <c r="A352" t="s">
        <v>618</v>
      </c>
      <c r="B352">
        <v>722</v>
      </c>
      <c r="C352" t="s">
        <v>619</v>
      </c>
      <c r="D352" s="10">
        <v>26264.37</v>
      </c>
      <c r="E352" t="s">
        <v>35</v>
      </c>
      <c r="F352" s="10">
        <v>53833.62</v>
      </c>
      <c r="H352" s="10">
        <v>27281.33</v>
      </c>
      <c r="I352" t="s">
        <v>35</v>
      </c>
      <c r="J352">
        <v>287.92</v>
      </c>
      <c r="L352" s="1">
        <f t="shared" si="5"/>
        <v>287.92</v>
      </c>
      <c r="N352" s="6" t="str">
        <f>IF(ISERROR(VLOOKUP($A352,'Plano de Contas'!#REF!,8,FALSE)),"",VLOOKUP($A352,'Plano de Contas'!#REF!,8,FALSE))</f>
        <v/>
      </c>
      <c r="P352" s="6" t="str">
        <f>IF(ISERROR(VLOOKUP($A352,'Plano de Contas'!#REF!,10,FALSE)),"",VLOOKUP($A352,'Plano de Contas'!#REF!,10,FALSE))</f>
        <v/>
      </c>
    </row>
    <row r="353" spans="1:16" x14ac:dyDescent="0.25">
      <c r="L353" s="1">
        <f t="shared" si="5"/>
        <v>0</v>
      </c>
      <c r="N353" s="6" t="str">
        <f>IF(ISERROR(VLOOKUP($A353,'Plano de Contas'!#REF!,8,FALSE)),"",VLOOKUP($A353,'Plano de Contas'!#REF!,8,FALSE))</f>
        <v/>
      </c>
      <c r="P353" s="6" t="str">
        <f>IF(ISERROR(VLOOKUP($A353,'Plano de Contas'!#REF!,10,FALSE)),"",VLOOKUP($A353,'Plano de Contas'!#REF!,10,FALSE))</f>
        <v/>
      </c>
    </row>
    <row r="354" spans="1:16" x14ac:dyDescent="0.25">
      <c r="A354" t="s">
        <v>620</v>
      </c>
      <c r="B354">
        <v>619</v>
      </c>
      <c r="C354" t="s">
        <v>621</v>
      </c>
      <c r="D354" s="10">
        <v>8513522.2699999996</v>
      </c>
      <c r="E354" t="s">
        <v>35</v>
      </c>
      <c r="F354">
        <v>0</v>
      </c>
      <c r="H354">
        <v>0</v>
      </c>
      <c r="J354" s="10">
        <v>8513522.2699999996</v>
      </c>
      <c r="K354" t="s">
        <v>35</v>
      </c>
      <c r="L354" s="1">
        <f t="shared" si="5"/>
        <v>-8513522.2699999996</v>
      </c>
      <c r="N354" s="6" t="str">
        <f>IF(ISERROR(VLOOKUP($A354,'Plano de Contas'!#REF!,8,FALSE)),"",VLOOKUP($A354,'Plano de Contas'!#REF!,8,FALSE))</f>
        <v/>
      </c>
      <c r="P354" s="6" t="str">
        <f>IF(ISERROR(VLOOKUP($A354,'Plano de Contas'!#REF!,10,FALSE)),"",VLOOKUP($A354,'Plano de Contas'!#REF!,10,FALSE))</f>
        <v/>
      </c>
    </row>
    <row r="355" spans="1:16" x14ac:dyDescent="0.25">
      <c r="A355" t="s">
        <v>622</v>
      </c>
      <c r="B355">
        <v>620</v>
      </c>
      <c r="C355" t="s">
        <v>623</v>
      </c>
      <c r="D355" s="10">
        <v>8513522.2699999996</v>
      </c>
      <c r="E355" t="s">
        <v>35</v>
      </c>
      <c r="F355">
        <v>0</v>
      </c>
      <c r="H355">
        <v>0</v>
      </c>
      <c r="J355" s="10">
        <v>8513522.2699999996</v>
      </c>
      <c r="K355" t="s">
        <v>35</v>
      </c>
      <c r="L355" s="1">
        <f t="shared" si="5"/>
        <v>-8513522.2699999996</v>
      </c>
      <c r="N355" s="6" t="str">
        <f>IF(ISERROR(VLOOKUP($A355,'Plano de Contas'!#REF!,8,FALSE)),"",VLOOKUP($A355,'Plano de Contas'!#REF!,8,FALSE))</f>
        <v/>
      </c>
      <c r="P355" s="6" t="str">
        <f>IF(ISERROR(VLOOKUP($A355,'Plano de Contas'!#REF!,10,FALSE)),"",VLOOKUP($A355,'Plano de Contas'!#REF!,10,FALSE))</f>
        <v/>
      </c>
    </row>
    <row r="356" spans="1:16" x14ac:dyDescent="0.25">
      <c r="L356" s="1">
        <f t="shared" si="5"/>
        <v>0</v>
      </c>
      <c r="N356" s="6" t="str">
        <f>IF(ISERROR(VLOOKUP($A356,'Plano de Contas'!#REF!,8,FALSE)),"",VLOOKUP($A356,'Plano de Contas'!#REF!,8,FALSE))</f>
        <v/>
      </c>
      <c r="P356" s="6" t="str">
        <f>IF(ISERROR(VLOOKUP($A356,'Plano de Contas'!#REF!,10,FALSE)),"",VLOOKUP($A356,'Plano de Contas'!#REF!,10,FALSE))</f>
        <v/>
      </c>
    </row>
    <row r="357" spans="1:16" x14ac:dyDescent="0.25">
      <c r="A357" t="s">
        <v>624</v>
      </c>
      <c r="B357">
        <v>161</v>
      </c>
      <c r="C357" t="s">
        <v>625</v>
      </c>
      <c r="D357" s="10">
        <v>1223568074.95</v>
      </c>
      <c r="E357" t="s">
        <v>35</v>
      </c>
      <c r="F357">
        <v>0</v>
      </c>
      <c r="H357" s="10">
        <v>148985192.09</v>
      </c>
      <c r="I357" t="s">
        <v>35</v>
      </c>
      <c r="J357" s="10">
        <v>1372553267.04</v>
      </c>
      <c r="K357" t="s">
        <v>35</v>
      </c>
      <c r="L357" s="1">
        <f t="shared" si="5"/>
        <v>-1372553267.04</v>
      </c>
      <c r="N357" s="6" t="str">
        <f>IF(ISERROR(VLOOKUP($A357,'Plano de Contas'!#REF!,8,FALSE)),"",VLOOKUP($A357,'Plano de Contas'!#REF!,8,FALSE))</f>
        <v/>
      </c>
      <c r="P357" s="6" t="str">
        <f>IF(ISERROR(VLOOKUP($A357,'Plano de Contas'!#REF!,10,FALSE)),"",VLOOKUP($A357,'Plano de Contas'!#REF!,10,FALSE))</f>
        <v/>
      </c>
    </row>
    <row r="358" spans="1:16" x14ac:dyDescent="0.25">
      <c r="L358" s="1">
        <f t="shared" si="5"/>
        <v>0</v>
      </c>
      <c r="N358" s="6" t="str">
        <f>IF(ISERROR(VLOOKUP($A358,'Plano de Contas'!#REF!,8,FALSE)),"",VLOOKUP($A358,'Plano de Contas'!#REF!,8,FALSE))</f>
        <v/>
      </c>
      <c r="P358" s="6" t="str">
        <f>IF(ISERROR(VLOOKUP($A358,'Plano de Contas'!#REF!,10,FALSE)),"",VLOOKUP($A358,'Plano de Contas'!#REF!,10,FALSE))</f>
        <v/>
      </c>
    </row>
    <row r="359" spans="1:16" x14ac:dyDescent="0.25">
      <c r="A359" t="s">
        <v>626</v>
      </c>
      <c r="B359">
        <v>162</v>
      </c>
      <c r="C359" t="s">
        <v>627</v>
      </c>
      <c r="D359" s="10">
        <v>1223568074.95</v>
      </c>
      <c r="E359" t="s">
        <v>35</v>
      </c>
      <c r="F359">
        <v>0</v>
      </c>
      <c r="H359" s="10">
        <v>148985192.09</v>
      </c>
      <c r="I359" t="s">
        <v>35</v>
      </c>
      <c r="J359" s="10">
        <v>1372553267.04</v>
      </c>
      <c r="K359" t="s">
        <v>35</v>
      </c>
      <c r="L359" s="1">
        <f t="shared" si="5"/>
        <v>-1372553267.04</v>
      </c>
      <c r="N359" s="6" t="str">
        <f>IF(ISERROR(VLOOKUP($A359,'Plano de Contas'!#REF!,8,FALSE)),"",VLOOKUP($A359,'Plano de Contas'!#REF!,8,FALSE))</f>
        <v/>
      </c>
      <c r="P359" s="6" t="str">
        <f>IF(ISERROR(VLOOKUP($A359,'Plano de Contas'!#REF!,10,FALSE)),"",VLOOKUP($A359,'Plano de Contas'!#REF!,10,FALSE))</f>
        <v/>
      </c>
    </row>
    <row r="360" spans="1:16" x14ac:dyDescent="0.25">
      <c r="L360" s="1">
        <f t="shared" si="5"/>
        <v>0</v>
      </c>
      <c r="N360" s="6" t="str">
        <f>IF(ISERROR(VLOOKUP($A360,'Plano de Contas'!#REF!,8,FALSE)),"",VLOOKUP($A360,'Plano de Contas'!#REF!,8,FALSE))</f>
        <v/>
      </c>
      <c r="P360" s="6" t="str">
        <f>IF(ISERROR(VLOOKUP($A360,'Plano de Contas'!#REF!,10,FALSE)),"",VLOOKUP($A360,'Plano de Contas'!#REF!,10,FALSE))</f>
        <v/>
      </c>
    </row>
    <row r="361" spans="1:16" x14ac:dyDescent="0.25">
      <c r="A361" t="s">
        <v>628</v>
      </c>
      <c r="B361">
        <v>164</v>
      </c>
      <c r="C361" t="s">
        <v>586</v>
      </c>
      <c r="D361" s="10">
        <v>242768.01</v>
      </c>
      <c r="E361" t="s">
        <v>35</v>
      </c>
      <c r="F361">
        <v>0</v>
      </c>
      <c r="H361">
        <v>0</v>
      </c>
      <c r="J361" s="10">
        <v>242768.01</v>
      </c>
      <c r="K361" t="s">
        <v>35</v>
      </c>
      <c r="L361" s="1">
        <f t="shared" si="5"/>
        <v>-242768.01</v>
      </c>
      <c r="N361" s="6" t="str">
        <f>IF(ISERROR(VLOOKUP($A361,'Plano de Contas'!#REF!,8,FALSE)),"",VLOOKUP($A361,'Plano de Contas'!#REF!,8,FALSE))</f>
        <v/>
      </c>
      <c r="P361" s="6" t="str">
        <f>IF(ISERROR(VLOOKUP($A361,'Plano de Contas'!#REF!,10,FALSE)),"",VLOOKUP($A361,'Plano de Contas'!#REF!,10,FALSE))</f>
        <v/>
      </c>
    </row>
    <row r="362" spans="1:16" x14ac:dyDescent="0.25">
      <c r="A362" t="s">
        <v>629</v>
      </c>
      <c r="B362">
        <v>687</v>
      </c>
      <c r="C362" t="s">
        <v>588</v>
      </c>
      <c r="D362" s="10">
        <v>112220.78</v>
      </c>
      <c r="E362" t="s">
        <v>35</v>
      </c>
      <c r="F362">
        <v>0</v>
      </c>
      <c r="H362">
        <v>0</v>
      </c>
      <c r="J362" s="10">
        <v>112220.78</v>
      </c>
      <c r="K362" t="s">
        <v>35</v>
      </c>
      <c r="L362" s="1">
        <f t="shared" si="5"/>
        <v>-112220.78</v>
      </c>
      <c r="N362" s="6" t="str">
        <f>IF(ISERROR(VLOOKUP($A362,'Plano de Contas'!#REF!,8,FALSE)),"",VLOOKUP($A362,'Plano de Contas'!#REF!,8,FALSE))</f>
        <v/>
      </c>
      <c r="P362" s="6" t="str">
        <f>IF(ISERROR(VLOOKUP($A362,'Plano de Contas'!#REF!,10,FALSE)),"",VLOOKUP($A362,'Plano de Contas'!#REF!,10,FALSE))</f>
        <v/>
      </c>
    </row>
    <row r="363" spans="1:16" x14ac:dyDescent="0.25">
      <c r="A363" t="s">
        <v>630</v>
      </c>
      <c r="B363">
        <v>690</v>
      </c>
      <c r="C363" t="s">
        <v>590</v>
      </c>
      <c r="D363" s="10">
        <v>130547.23</v>
      </c>
      <c r="E363" t="s">
        <v>35</v>
      </c>
      <c r="F363">
        <v>0</v>
      </c>
      <c r="H363">
        <v>0</v>
      </c>
      <c r="J363" s="10">
        <v>130547.23</v>
      </c>
      <c r="K363" t="s">
        <v>35</v>
      </c>
      <c r="L363" s="1">
        <f t="shared" si="5"/>
        <v>-130547.23</v>
      </c>
      <c r="N363" s="6" t="str">
        <f>IF(ISERROR(VLOOKUP($A363,'Plano de Contas'!#REF!,8,FALSE)),"",VLOOKUP($A363,'Plano de Contas'!#REF!,8,FALSE))</f>
        <v/>
      </c>
      <c r="P363" s="6" t="str">
        <f>IF(ISERROR(VLOOKUP($A363,'Plano de Contas'!#REF!,10,FALSE)),"",VLOOKUP($A363,'Plano de Contas'!#REF!,10,FALSE))</f>
        <v/>
      </c>
    </row>
    <row r="364" spans="1:16" x14ac:dyDescent="0.25">
      <c r="L364" s="1">
        <f t="shared" si="5"/>
        <v>0</v>
      </c>
      <c r="N364" s="6" t="str">
        <f>IF(ISERROR(VLOOKUP($A364,'Plano de Contas'!#REF!,8,FALSE)),"",VLOOKUP($A364,'Plano de Contas'!#REF!,8,FALSE))</f>
        <v/>
      </c>
      <c r="P364" s="6" t="str">
        <f>IF(ISERROR(VLOOKUP($A364,'Plano de Contas'!#REF!,10,FALSE)),"",VLOOKUP($A364,'Plano de Contas'!#REF!,10,FALSE))</f>
        <v/>
      </c>
    </row>
    <row r="365" spans="1:16" x14ac:dyDescent="0.25">
      <c r="A365" t="s">
        <v>631</v>
      </c>
      <c r="B365">
        <v>581</v>
      </c>
      <c r="C365" t="s">
        <v>632</v>
      </c>
      <c r="D365" s="10">
        <v>387659843.11000001</v>
      </c>
      <c r="E365" t="s">
        <v>35</v>
      </c>
      <c r="F365">
        <v>0</v>
      </c>
      <c r="H365" s="10">
        <v>26151037.32</v>
      </c>
      <c r="I365" t="s">
        <v>35</v>
      </c>
      <c r="J365" s="10">
        <v>413810880.43000001</v>
      </c>
      <c r="K365" t="s">
        <v>35</v>
      </c>
      <c r="L365" s="1">
        <f t="shared" si="5"/>
        <v>-413810880.43000001</v>
      </c>
      <c r="N365" s="6" t="str">
        <f>IF(ISERROR(VLOOKUP($A365,'Plano de Contas'!#REF!,8,FALSE)),"",VLOOKUP($A365,'Plano de Contas'!#REF!,8,FALSE))</f>
        <v/>
      </c>
      <c r="P365" s="6" t="str">
        <f>IF(ISERROR(VLOOKUP($A365,'Plano de Contas'!#REF!,10,FALSE)),"",VLOOKUP($A365,'Plano de Contas'!#REF!,10,FALSE))</f>
        <v/>
      </c>
    </row>
    <row r="366" spans="1:16" x14ac:dyDescent="0.25">
      <c r="A366" t="s">
        <v>633</v>
      </c>
      <c r="B366">
        <v>634</v>
      </c>
      <c r="C366" t="s">
        <v>634</v>
      </c>
      <c r="D366" s="10">
        <v>387659843.11000001</v>
      </c>
      <c r="E366" t="s">
        <v>35</v>
      </c>
      <c r="F366">
        <v>0</v>
      </c>
      <c r="H366" s="10">
        <v>26151037.32</v>
      </c>
      <c r="I366" t="s">
        <v>35</v>
      </c>
      <c r="J366" s="10">
        <v>413810880.43000001</v>
      </c>
      <c r="K366" t="s">
        <v>35</v>
      </c>
      <c r="L366" s="1">
        <f t="shared" si="5"/>
        <v>-413810880.43000001</v>
      </c>
      <c r="N366" s="6" t="str">
        <f>IF(ISERROR(VLOOKUP($A366,'Plano de Contas'!#REF!,8,FALSE)),"",VLOOKUP($A366,'Plano de Contas'!#REF!,8,FALSE))</f>
        <v/>
      </c>
      <c r="P366" s="6" t="str">
        <f>IF(ISERROR(VLOOKUP($A366,'Plano de Contas'!#REF!,10,FALSE)),"",VLOOKUP($A366,'Plano de Contas'!#REF!,10,FALSE))</f>
        <v/>
      </c>
    </row>
    <row r="367" spans="1:16" x14ac:dyDescent="0.25">
      <c r="L367" s="1">
        <f t="shared" si="5"/>
        <v>0</v>
      </c>
      <c r="N367" s="6" t="str">
        <f>IF(ISERROR(VLOOKUP($A367,'Plano de Contas'!#REF!,8,FALSE)),"",VLOOKUP($A367,'Plano de Contas'!#REF!,8,FALSE))</f>
        <v/>
      </c>
      <c r="P367" s="6" t="str">
        <f>IF(ISERROR(VLOOKUP($A367,'Plano de Contas'!#REF!,10,FALSE)),"",VLOOKUP($A367,'Plano de Contas'!#REF!,10,FALSE))</f>
        <v/>
      </c>
    </row>
    <row r="368" spans="1:16" x14ac:dyDescent="0.25">
      <c r="A368" t="s">
        <v>635</v>
      </c>
      <c r="B368">
        <v>613</v>
      </c>
      <c r="C368" t="s">
        <v>636</v>
      </c>
      <c r="D368" s="10">
        <v>600619558.50999999</v>
      </c>
      <c r="E368" t="s">
        <v>35</v>
      </c>
      <c r="F368">
        <v>0</v>
      </c>
      <c r="H368" s="10">
        <v>22913457.829999998</v>
      </c>
      <c r="I368" t="s">
        <v>35</v>
      </c>
      <c r="J368" s="10">
        <v>623533016.34000003</v>
      </c>
      <c r="K368" t="s">
        <v>35</v>
      </c>
      <c r="L368" s="1">
        <f t="shared" si="5"/>
        <v>-623533016.34000003</v>
      </c>
      <c r="N368" s="6" t="str">
        <f>IF(ISERROR(VLOOKUP($A368,'Plano de Contas'!#REF!,8,FALSE)),"",VLOOKUP($A368,'Plano de Contas'!#REF!,8,FALSE))</f>
        <v/>
      </c>
      <c r="P368" s="6" t="str">
        <f>IF(ISERROR(VLOOKUP($A368,'Plano de Contas'!#REF!,10,FALSE)),"",VLOOKUP($A368,'Plano de Contas'!#REF!,10,FALSE))</f>
        <v/>
      </c>
    </row>
    <row r="369" spans="1:16" x14ac:dyDescent="0.25">
      <c r="A369" t="s">
        <v>637</v>
      </c>
      <c r="B369">
        <v>614</v>
      </c>
      <c r="C369" t="s">
        <v>638</v>
      </c>
      <c r="D369" s="10">
        <v>600619558.50999999</v>
      </c>
      <c r="E369" t="s">
        <v>35</v>
      </c>
      <c r="F369">
        <v>0</v>
      </c>
      <c r="H369" s="10">
        <v>22913457.829999998</v>
      </c>
      <c r="I369" t="s">
        <v>35</v>
      </c>
      <c r="J369" s="10">
        <v>623533016.34000003</v>
      </c>
      <c r="K369" t="s">
        <v>35</v>
      </c>
      <c r="L369" s="1">
        <f t="shared" si="5"/>
        <v>-623533016.34000003</v>
      </c>
      <c r="N369" s="6" t="str">
        <f>IF(ISERROR(VLOOKUP($A369,'Plano de Contas'!#REF!,8,FALSE)),"",VLOOKUP($A369,'Plano de Contas'!#REF!,8,FALSE))</f>
        <v/>
      </c>
      <c r="P369" s="6" t="str">
        <f>IF(ISERROR(VLOOKUP($A369,'Plano de Contas'!#REF!,10,FALSE)),"",VLOOKUP($A369,'Plano de Contas'!#REF!,10,FALSE))</f>
        <v/>
      </c>
    </row>
    <row r="370" spans="1:16" x14ac:dyDescent="0.25">
      <c r="L370" s="1">
        <f t="shared" si="5"/>
        <v>0</v>
      </c>
      <c r="N370" s="6" t="str">
        <f>IF(ISERROR(VLOOKUP($A370,'Plano de Contas'!#REF!,8,FALSE)),"",VLOOKUP($A370,'Plano de Contas'!#REF!,8,FALSE))</f>
        <v/>
      </c>
      <c r="P370" s="6" t="str">
        <f>IF(ISERROR(VLOOKUP($A370,'Plano de Contas'!#REF!,10,FALSE)),"",VLOOKUP($A370,'Plano de Contas'!#REF!,10,FALSE))</f>
        <v/>
      </c>
    </row>
    <row r="371" spans="1:16" x14ac:dyDescent="0.25">
      <c r="A371" t="s">
        <v>639</v>
      </c>
      <c r="B371">
        <v>165</v>
      </c>
      <c r="C371" t="s">
        <v>609</v>
      </c>
      <c r="D371" s="10">
        <v>9603484.7100000009</v>
      </c>
      <c r="E371" t="s">
        <v>35</v>
      </c>
      <c r="F371">
        <v>0</v>
      </c>
      <c r="H371" s="10">
        <v>1920696.94</v>
      </c>
      <c r="I371" t="s">
        <v>35</v>
      </c>
      <c r="J371" s="10">
        <v>11524181.65</v>
      </c>
      <c r="K371" t="s">
        <v>35</v>
      </c>
      <c r="L371" s="1">
        <f t="shared" si="5"/>
        <v>-11524181.65</v>
      </c>
      <c r="N371" s="6" t="str">
        <f>IF(ISERROR(VLOOKUP($A371,'Plano de Contas'!#REF!,8,FALSE)),"",VLOOKUP($A371,'Plano de Contas'!#REF!,8,FALSE))</f>
        <v/>
      </c>
      <c r="P371" s="6" t="str">
        <f>IF(ISERROR(VLOOKUP($A371,'Plano de Contas'!#REF!,10,FALSE)),"",VLOOKUP($A371,'Plano de Contas'!#REF!,10,FALSE))</f>
        <v/>
      </c>
    </row>
    <row r="372" spans="1:16" x14ac:dyDescent="0.25">
      <c r="A372" t="s">
        <v>640</v>
      </c>
      <c r="B372">
        <v>328</v>
      </c>
      <c r="C372" t="s">
        <v>641</v>
      </c>
      <c r="D372" s="10">
        <v>9603484.7100000009</v>
      </c>
      <c r="E372" t="s">
        <v>35</v>
      </c>
      <c r="F372">
        <v>0</v>
      </c>
      <c r="H372" s="10">
        <v>1920696.94</v>
      </c>
      <c r="I372" t="s">
        <v>35</v>
      </c>
      <c r="J372" s="10">
        <v>11524181.65</v>
      </c>
      <c r="K372" t="s">
        <v>35</v>
      </c>
      <c r="L372" s="1">
        <f t="shared" si="5"/>
        <v>-11524181.65</v>
      </c>
      <c r="N372" s="6" t="str">
        <f>IF(ISERROR(VLOOKUP($A372,'Plano de Contas'!#REF!,8,FALSE)),"",VLOOKUP($A372,'Plano de Contas'!#REF!,8,FALSE))</f>
        <v/>
      </c>
      <c r="P372" s="6" t="str">
        <f>IF(ISERROR(VLOOKUP($A372,'Plano de Contas'!#REF!,10,FALSE)),"",VLOOKUP($A372,'Plano de Contas'!#REF!,10,FALSE))</f>
        <v/>
      </c>
    </row>
    <row r="373" spans="1:16" x14ac:dyDescent="0.25">
      <c r="L373" s="1">
        <f t="shared" si="5"/>
        <v>0</v>
      </c>
      <c r="N373" s="6" t="str">
        <f>IF(ISERROR(VLOOKUP($A373,'Plano de Contas'!#REF!,8,FALSE)),"",VLOOKUP($A373,'Plano de Contas'!#REF!,8,FALSE))</f>
        <v/>
      </c>
      <c r="P373" s="6" t="str">
        <f>IF(ISERROR(VLOOKUP($A373,'Plano de Contas'!#REF!,10,FALSE)),"",VLOOKUP($A373,'Plano de Contas'!#REF!,10,FALSE))</f>
        <v/>
      </c>
    </row>
    <row r="374" spans="1:16" x14ac:dyDescent="0.25">
      <c r="A374" t="s">
        <v>644</v>
      </c>
      <c r="B374">
        <v>472</v>
      </c>
      <c r="C374" t="s">
        <v>645</v>
      </c>
      <c r="D374">
        <v>414</v>
      </c>
      <c r="E374" t="s">
        <v>35</v>
      </c>
      <c r="F374">
        <v>0</v>
      </c>
      <c r="H374">
        <v>0</v>
      </c>
      <c r="J374">
        <v>414</v>
      </c>
      <c r="K374" t="s">
        <v>35</v>
      </c>
      <c r="L374" s="1">
        <f t="shared" si="5"/>
        <v>-414</v>
      </c>
      <c r="N374" s="6" t="str">
        <f>IF(ISERROR(VLOOKUP($A374,'Plano de Contas'!#REF!,8,FALSE)),"",VLOOKUP($A374,'Plano de Contas'!#REF!,8,FALSE))</f>
        <v/>
      </c>
      <c r="P374" s="6" t="str">
        <f>IF(ISERROR(VLOOKUP($A374,'Plano de Contas'!#REF!,10,FALSE)),"",VLOOKUP($A374,'Plano de Contas'!#REF!,10,FALSE))</f>
        <v/>
      </c>
    </row>
    <row r="375" spans="1:16" x14ac:dyDescent="0.25">
      <c r="A375" t="s">
        <v>646</v>
      </c>
      <c r="B375">
        <v>564</v>
      </c>
      <c r="C375" t="s">
        <v>647</v>
      </c>
      <c r="D375">
        <v>414</v>
      </c>
      <c r="E375" t="s">
        <v>35</v>
      </c>
      <c r="F375">
        <v>0</v>
      </c>
      <c r="H375">
        <v>0</v>
      </c>
      <c r="J375">
        <v>414</v>
      </c>
      <c r="K375" t="s">
        <v>35</v>
      </c>
      <c r="L375" s="1">
        <f t="shared" si="5"/>
        <v>-414</v>
      </c>
      <c r="N375" s="6" t="str">
        <f>IF(ISERROR(VLOOKUP($A375,'Plano de Contas'!#REF!,8,FALSE)),"",VLOOKUP($A375,'Plano de Contas'!#REF!,8,FALSE))</f>
        <v/>
      </c>
      <c r="P375" s="6" t="str">
        <f>IF(ISERROR(VLOOKUP($A375,'Plano de Contas'!#REF!,10,FALSE)),"",VLOOKUP($A375,'Plano de Contas'!#REF!,10,FALSE))</f>
        <v/>
      </c>
    </row>
    <row r="376" spans="1:16" x14ac:dyDescent="0.25">
      <c r="L376" s="1">
        <f t="shared" si="5"/>
        <v>0</v>
      </c>
      <c r="N376" s="6" t="str">
        <f>IF(ISERROR(VLOOKUP($A376,'Plano de Contas'!#REF!,8,FALSE)),"",VLOOKUP($A376,'Plano de Contas'!#REF!,8,FALSE))</f>
        <v/>
      </c>
      <c r="P376" s="6" t="str">
        <f>IF(ISERROR(VLOOKUP($A376,'Plano de Contas'!#REF!,10,FALSE)),"",VLOOKUP($A376,'Plano de Contas'!#REF!,10,FALSE))</f>
        <v/>
      </c>
    </row>
    <row r="377" spans="1:16" x14ac:dyDescent="0.25">
      <c r="A377" t="s">
        <v>648</v>
      </c>
      <c r="B377">
        <v>906</v>
      </c>
      <c r="C377" t="s">
        <v>649</v>
      </c>
      <c r="D377" s="10">
        <v>225442006.61000001</v>
      </c>
      <c r="E377" t="s">
        <v>35</v>
      </c>
      <c r="F377">
        <v>0</v>
      </c>
      <c r="H377" s="10">
        <v>98000000</v>
      </c>
      <c r="I377" t="s">
        <v>35</v>
      </c>
      <c r="J377" s="10">
        <v>323442006.61000001</v>
      </c>
      <c r="K377" t="s">
        <v>35</v>
      </c>
      <c r="L377" s="1">
        <f t="shared" si="5"/>
        <v>-323442006.61000001</v>
      </c>
      <c r="N377" s="6" t="str">
        <f>IF(ISERROR(VLOOKUP($A377,'Plano de Contas'!#REF!,8,FALSE)),"",VLOOKUP($A377,'Plano de Contas'!#REF!,8,FALSE))</f>
        <v/>
      </c>
      <c r="P377" s="6" t="str">
        <f>IF(ISERROR(VLOOKUP($A377,'Plano de Contas'!#REF!,10,FALSE)),"",VLOOKUP($A377,'Plano de Contas'!#REF!,10,FALSE))</f>
        <v/>
      </c>
    </row>
    <row r="378" spans="1:16" x14ac:dyDescent="0.25">
      <c r="A378" t="s">
        <v>650</v>
      </c>
      <c r="B378">
        <v>907</v>
      </c>
      <c r="C378" t="s">
        <v>651</v>
      </c>
      <c r="D378" s="10">
        <v>225442006.61000001</v>
      </c>
      <c r="E378" t="s">
        <v>35</v>
      </c>
      <c r="F378">
        <v>0</v>
      </c>
      <c r="H378" s="10">
        <v>98000000</v>
      </c>
      <c r="I378" t="s">
        <v>35</v>
      </c>
      <c r="J378" s="10">
        <v>323442006.61000001</v>
      </c>
      <c r="K378" t="s">
        <v>35</v>
      </c>
      <c r="L378" s="1">
        <f t="shared" si="5"/>
        <v>-323442006.61000001</v>
      </c>
      <c r="N378" s="6" t="str">
        <f>IF(ISERROR(VLOOKUP($A378,'Plano de Contas'!#REF!,8,FALSE)),"",VLOOKUP($A378,'Plano de Contas'!#REF!,8,FALSE))</f>
        <v/>
      </c>
      <c r="P378" s="6" t="str">
        <f>IF(ISERROR(VLOOKUP($A378,'Plano de Contas'!#REF!,10,FALSE)),"",VLOOKUP($A378,'Plano de Contas'!#REF!,10,FALSE))</f>
        <v/>
      </c>
    </row>
    <row r="379" spans="1:16" x14ac:dyDescent="0.25">
      <c r="L379" s="1">
        <f t="shared" si="5"/>
        <v>0</v>
      </c>
      <c r="N379" s="6" t="str">
        <f>IF(ISERROR(VLOOKUP($A379,'Plano de Contas'!#REF!,8,FALSE)),"",VLOOKUP($A379,'Plano de Contas'!#REF!,8,FALSE))</f>
        <v/>
      </c>
      <c r="P379" s="6" t="str">
        <f>IF(ISERROR(VLOOKUP($A379,'Plano de Contas'!#REF!,10,FALSE)),"",VLOOKUP($A379,'Plano de Contas'!#REF!,10,FALSE))</f>
        <v/>
      </c>
    </row>
    <row r="380" spans="1:16" x14ac:dyDescent="0.25">
      <c r="A380" t="s">
        <v>652</v>
      </c>
      <c r="B380">
        <v>168</v>
      </c>
      <c r="C380" t="s">
        <v>653</v>
      </c>
      <c r="D380" s="10">
        <v>923304770.84000003</v>
      </c>
      <c r="E380" t="s">
        <v>35</v>
      </c>
      <c r="F380">
        <v>0</v>
      </c>
      <c r="H380" s="10">
        <v>50000000</v>
      </c>
      <c r="I380" t="s">
        <v>35</v>
      </c>
      <c r="J380" s="10">
        <v>973304770.84000003</v>
      </c>
      <c r="K380" t="s">
        <v>35</v>
      </c>
      <c r="L380" s="1">
        <f t="shared" si="5"/>
        <v>-973304770.84000003</v>
      </c>
      <c r="N380" s="6" t="str">
        <f>IF(ISERROR(VLOOKUP($A380,'Plano de Contas'!#REF!,8,FALSE)),"",VLOOKUP($A380,'Plano de Contas'!#REF!,8,FALSE))</f>
        <v/>
      </c>
      <c r="P380" s="6" t="str">
        <f>IF(ISERROR(VLOOKUP($A380,'Plano de Contas'!#REF!,10,FALSE)),"",VLOOKUP($A380,'Plano de Contas'!#REF!,10,FALSE))</f>
        <v/>
      </c>
    </row>
    <row r="381" spans="1:16" x14ac:dyDescent="0.25">
      <c r="L381" s="1">
        <f t="shared" si="5"/>
        <v>0</v>
      </c>
      <c r="N381" s="6" t="str">
        <f>IF(ISERROR(VLOOKUP($A381,'Plano de Contas'!#REF!,8,FALSE)),"",VLOOKUP($A381,'Plano de Contas'!#REF!,8,FALSE))</f>
        <v/>
      </c>
      <c r="P381" s="6" t="str">
        <f>IF(ISERROR(VLOOKUP($A381,'Plano de Contas'!#REF!,10,FALSE)),"",VLOOKUP($A381,'Plano de Contas'!#REF!,10,FALSE))</f>
        <v/>
      </c>
    </row>
    <row r="382" spans="1:16" x14ac:dyDescent="0.25">
      <c r="A382" t="s">
        <v>654</v>
      </c>
      <c r="B382">
        <v>169</v>
      </c>
      <c r="C382" t="s">
        <v>655</v>
      </c>
      <c r="D382" s="10">
        <v>585213077.77999997</v>
      </c>
      <c r="E382" t="s">
        <v>35</v>
      </c>
      <c r="F382">
        <v>0</v>
      </c>
      <c r="H382">
        <v>0</v>
      </c>
      <c r="J382" s="10">
        <v>585213077.77999997</v>
      </c>
      <c r="K382" t="s">
        <v>35</v>
      </c>
      <c r="L382" s="1">
        <f t="shared" si="5"/>
        <v>-585213077.77999997</v>
      </c>
      <c r="N382" s="6" t="str">
        <f>IF(ISERROR(VLOOKUP($A382,'Plano de Contas'!#REF!,8,FALSE)),"",VLOOKUP($A382,'Plano de Contas'!#REF!,8,FALSE))</f>
        <v/>
      </c>
      <c r="P382" s="6" t="str">
        <f>IF(ISERROR(VLOOKUP($A382,'Plano de Contas'!#REF!,10,FALSE)),"",VLOOKUP($A382,'Plano de Contas'!#REF!,10,FALSE))</f>
        <v/>
      </c>
    </row>
    <row r="383" spans="1:16" x14ac:dyDescent="0.25">
      <c r="L383" s="1">
        <f t="shared" si="5"/>
        <v>0</v>
      </c>
      <c r="N383" s="6" t="str">
        <f>IF(ISERROR(VLOOKUP($A383,'Plano de Contas'!#REF!,8,FALSE)),"",VLOOKUP($A383,'Plano de Contas'!#REF!,8,FALSE))</f>
        <v/>
      </c>
      <c r="P383" s="6" t="str">
        <f>IF(ISERROR(VLOOKUP($A383,'Plano de Contas'!#REF!,10,FALSE)),"",VLOOKUP($A383,'Plano de Contas'!#REF!,10,FALSE))</f>
        <v/>
      </c>
    </row>
    <row r="384" spans="1:16" x14ac:dyDescent="0.25">
      <c r="A384" t="s">
        <v>656</v>
      </c>
      <c r="B384">
        <v>170</v>
      </c>
      <c r="C384" t="s">
        <v>657</v>
      </c>
      <c r="D384" s="10">
        <v>585213077.77999997</v>
      </c>
      <c r="E384" t="s">
        <v>35</v>
      </c>
      <c r="F384">
        <v>0</v>
      </c>
      <c r="H384">
        <v>0</v>
      </c>
      <c r="J384" s="10">
        <v>585213077.77999997</v>
      </c>
      <c r="K384" t="s">
        <v>35</v>
      </c>
      <c r="L384" s="1">
        <f t="shared" si="5"/>
        <v>-585213077.77999997</v>
      </c>
      <c r="N384" s="6" t="str">
        <f>IF(ISERROR(VLOOKUP($A384,'Plano de Contas'!#REF!,8,FALSE)),"",VLOOKUP($A384,'Plano de Contas'!#REF!,8,FALSE))</f>
        <v/>
      </c>
      <c r="P384" s="6" t="str">
        <f>IF(ISERROR(VLOOKUP($A384,'Plano de Contas'!#REF!,10,FALSE)),"",VLOOKUP($A384,'Plano de Contas'!#REF!,10,FALSE))</f>
        <v/>
      </c>
    </row>
    <row r="385" spans="1:16" x14ac:dyDescent="0.25">
      <c r="A385" t="s">
        <v>658</v>
      </c>
      <c r="B385">
        <v>171</v>
      </c>
      <c r="C385" t="s">
        <v>659</v>
      </c>
      <c r="D385" s="10">
        <v>585213077.77999997</v>
      </c>
      <c r="E385" t="s">
        <v>35</v>
      </c>
      <c r="F385">
        <v>0</v>
      </c>
      <c r="H385">
        <v>0</v>
      </c>
      <c r="J385" s="10">
        <v>585213077.77999997</v>
      </c>
      <c r="K385" t="s">
        <v>35</v>
      </c>
      <c r="L385" s="1">
        <f t="shared" si="5"/>
        <v>-585213077.77999997</v>
      </c>
      <c r="N385" s="6" t="str">
        <f>IF(ISERROR(VLOOKUP($A385,'Plano de Contas'!#REF!,8,FALSE)),"",VLOOKUP($A385,'Plano de Contas'!#REF!,8,FALSE))</f>
        <v/>
      </c>
      <c r="P385" s="6" t="str">
        <f>IF(ISERROR(VLOOKUP($A385,'Plano de Contas'!#REF!,10,FALSE)),"",VLOOKUP($A385,'Plano de Contas'!#REF!,10,FALSE))</f>
        <v/>
      </c>
    </row>
    <row r="386" spans="1:16" x14ac:dyDescent="0.25">
      <c r="L386" s="1">
        <f t="shared" si="5"/>
        <v>0</v>
      </c>
      <c r="N386" s="6" t="str">
        <f>IF(ISERROR(VLOOKUP($A386,'Plano de Contas'!#REF!,8,FALSE)),"",VLOOKUP($A386,'Plano de Contas'!#REF!,8,FALSE))</f>
        <v/>
      </c>
      <c r="P386" s="6" t="str">
        <f>IF(ISERROR(VLOOKUP($A386,'Plano de Contas'!#REF!,10,FALSE)),"",VLOOKUP($A386,'Plano de Contas'!#REF!,10,FALSE))</f>
        <v/>
      </c>
    </row>
    <row r="387" spans="1:16" x14ac:dyDescent="0.25">
      <c r="A387" t="s">
        <v>660</v>
      </c>
      <c r="B387">
        <v>173</v>
      </c>
      <c r="C387" t="s">
        <v>661</v>
      </c>
      <c r="D387" s="10">
        <v>984946.55</v>
      </c>
      <c r="E387" t="s">
        <v>35</v>
      </c>
      <c r="F387">
        <v>0</v>
      </c>
      <c r="H387">
        <v>0</v>
      </c>
      <c r="J387" s="10">
        <v>984946.55</v>
      </c>
      <c r="K387" t="s">
        <v>35</v>
      </c>
      <c r="L387" s="1">
        <f t="shared" si="5"/>
        <v>-984946.55</v>
      </c>
      <c r="N387" s="6" t="str">
        <f>IF(ISERROR(VLOOKUP($A387,'Plano de Contas'!#REF!,8,FALSE)),"",VLOOKUP($A387,'Plano de Contas'!#REF!,8,FALSE))</f>
        <v/>
      </c>
      <c r="P387" s="6" t="str">
        <f>IF(ISERROR(VLOOKUP($A387,'Plano de Contas'!#REF!,10,FALSE)),"",VLOOKUP($A387,'Plano de Contas'!#REF!,10,FALSE))</f>
        <v/>
      </c>
    </row>
    <row r="388" spans="1:16" x14ac:dyDescent="0.25">
      <c r="L388" s="1">
        <f t="shared" si="5"/>
        <v>0</v>
      </c>
      <c r="N388" s="6" t="str">
        <f>IF(ISERROR(VLOOKUP($A388,'Plano de Contas'!#REF!,8,FALSE)),"",VLOOKUP($A388,'Plano de Contas'!#REF!,8,FALSE))</f>
        <v/>
      </c>
      <c r="P388" s="6" t="str">
        <f>IF(ISERROR(VLOOKUP($A388,'Plano de Contas'!#REF!,10,FALSE)),"",VLOOKUP($A388,'Plano de Contas'!#REF!,10,FALSE))</f>
        <v/>
      </c>
    </row>
    <row r="389" spans="1:16" x14ac:dyDescent="0.25">
      <c r="A389" t="s">
        <v>662</v>
      </c>
      <c r="B389">
        <v>174</v>
      </c>
      <c r="C389" t="s">
        <v>663</v>
      </c>
      <c r="D389" s="10">
        <v>948261.98</v>
      </c>
      <c r="E389" t="s">
        <v>35</v>
      </c>
      <c r="F389">
        <v>0</v>
      </c>
      <c r="H389">
        <v>0</v>
      </c>
      <c r="J389" s="10">
        <v>948261.98</v>
      </c>
      <c r="K389" t="s">
        <v>35</v>
      </c>
      <c r="L389" s="1">
        <f t="shared" si="5"/>
        <v>-948261.98</v>
      </c>
      <c r="N389" s="6" t="str">
        <f>IF(ISERROR(VLOOKUP($A389,'Plano de Contas'!#REF!,8,FALSE)),"",VLOOKUP($A389,'Plano de Contas'!#REF!,8,FALSE))</f>
        <v/>
      </c>
      <c r="P389" s="6" t="str">
        <f>IF(ISERROR(VLOOKUP($A389,'Plano de Contas'!#REF!,10,FALSE)),"",VLOOKUP($A389,'Plano de Contas'!#REF!,10,FALSE))</f>
        <v/>
      </c>
    </row>
    <row r="390" spans="1:16" x14ac:dyDescent="0.25">
      <c r="A390" t="s">
        <v>664</v>
      </c>
      <c r="B390">
        <v>175</v>
      </c>
      <c r="C390" t="s">
        <v>665</v>
      </c>
      <c r="D390" s="10">
        <v>-2777.91</v>
      </c>
      <c r="F390">
        <v>0</v>
      </c>
      <c r="H390">
        <v>0</v>
      </c>
      <c r="J390" s="10">
        <v>-2777.91</v>
      </c>
      <c r="L390" s="1">
        <f t="shared" si="5"/>
        <v>-2777.91</v>
      </c>
      <c r="N390" s="6" t="str">
        <f>IF(ISERROR(VLOOKUP($A390,'Plano de Contas'!#REF!,8,FALSE)),"",VLOOKUP($A390,'Plano de Contas'!#REF!,8,FALSE))</f>
        <v/>
      </c>
      <c r="P390" s="6" t="str">
        <f>IF(ISERROR(VLOOKUP($A390,'Plano de Contas'!#REF!,10,FALSE)),"",VLOOKUP($A390,'Plano de Contas'!#REF!,10,FALSE))</f>
        <v/>
      </c>
    </row>
    <row r="391" spans="1:16" x14ac:dyDescent="0.25">
      <c r="A391" t="s">
        <v>666</v>
      </c>
      <c r="B391">
        <v>176</v>
      </c>
      <c r="C391" t="s">
        <v>667</v>
      </c>
      <c r="D391" s="10">
        <v>-2193.35</v>
      </c>
      <c r="F391">
        <v>0</v>
      </c>
      <c r="H391">
        <v>0</v>
      </c>
      <c r="J391" s="10">
        <v>-2193.35</v>
      </c>
      <c r="L391" s="1">
        <f t="shared" si="5"/>
        <v>-2193.35</v>
      </c>
      <c r="N391" s="6" t="str">
        <f>IF(ISERROR(VLOOKUP($A391,'Plano de Contas'!#REF!,8,FALSE)),"",VLOOKUP($A391,'Plano de Contas'!#REF!,8,FALSE))</f>
        <v/>
      </c>
      <c r="P391" s="6" t="str">
        <f>IF(ISERROR(VLOOKUP($A391,'Plano de Contas'!#REF!,10,FALSE)),"",VLOOKUP($A391,'Plano de Contas'!#REF!,10,FALSE))</f>
        <v/>
      </c>
    </row>
    <row r="392" spans="1:16" x14ac:dyDescent="0.25">
      <c r="A392" t="s">
        <v>668</v>
      </c>
      <c r="B392">
        <v>515</v>
      </c>
      <c r="C392" t="s">
        <v>669</v>
      </c>
      <c r="D392" s="10">
        <v>-920000</v>
      </c>
      <c r="F392">
        <v>0</v>
      </c>
      <c r="H392">
        <v>0</v>
      </c>
      <c r="J392" s="10">
        <v>-920000</v>
      </c>
      <c r="L392" s="1">
        <f t="shared" ref="L392:L455" si="6">IF(K392="-",-J392,J392)</f>
        <v>-920000</v>
      </c>
      <c r="N392" s="6" t="str">
        <f>IF(ISERROR(VLOOKUP($A392,'Plano de Contas'!#REF!,8,FALSE)),"",VLOOKUP($A392,'Plano de Contas'!#REF!,8,FALSE))</f>
        <v/>
      </c>
      <c r="P392" s="6" t="str">
        <f>IF(ISERROR(VLOOKUP($A392,'Plano de Contas'!#REF!,10,FALSE)),"",VLOOKUP($A392,'Plano de Contas'!#REF!,10,FALSE))</f>
        <v/>
      </c>
    </row>
    <row r="393" spans="1:16" x14ac:dyDescent="0.25">
      <c r="A393" t="s">
        <v>670</v>
      </c>
      <c r="B393">
        <v>565</v>
      </c>
      <c r="C393" t="s">
        <v>671</v>
      </c>
      <c r="D393" s="10">
        <v>-23290.720000000001</v>
      </c>
      <c r="F393">
        <v>0</v>
      </c>
      <c r="H393">
        <v>0</v>
      </c>
      <c r="J393" s="10">
        <v>-23290.720000000001</v>
      </c>
      <c r="L393" s="1">
        <f t="shared" si="6"/>
        <v>-23290.720000000001</v>
      </c>
      <c r="N393" s="6" t="str">
        <f>IF(ISERROR(VLOOKUP($A393,'Plano de Contas'!#REF!,8,FALSE)),"",VLOOKUP($A393,'Plano de Contas'!#REF!,8,FALSE))</f>
        <v/>
      </c>
      <c r="P393" s="6" t="str">
        <f>IF(ISERROR(VLOOKUP($A393,'Plano de Contas'!#REF!,10,FALSE)),"",VLOOKUP($A393,'Plano de Contas'!#REF!,10,FALSE))</f>
        <v/>
      </c>
    </row>
    <row r="394" spans="1:16" x14ac:dyDescent="0.25">
      <c r="L394" s="1">
        <f t="shared" si="6"/>
        <v>0</v>
      </c>
      <c r="N394" s="6" t="str">
        <f>IF(ISERROR(VLOOKUP($A394,'Plano de Contas'!#REF!,8,FALSE)),"",VLOOKUP($A394,'Plano de Contas'!#REF!,8,FALSE))</f>
        <v/>
      </c>
      <c r="P394" s="6" t="str">
        <f>IF(ISERROR(VLOOKUP($A394,'Plano de Contas'!#REF!,10,FALSE)),"",VLOOKUP($A394,'Plano de Contas'!#REF!,10,FALSE))</f>
        <v/>
      </c>
    </row>
    <row r="395" spans="1:16" x14ac:dyDescent="0.25">
      <c r="A395" t="s">
        <v>672</v>
      </c>
      <c r="B395">
        <v>177</v>
      </c>
      <c r="C395" t="s">
        <v>673</v>
      </c>
      <c r="D395" s="10">
        <v>36684.57</v>
      </c>
      <c r="E395" t="s">
        <v>35</v>
      </c>
      <c r="F395">
        <v>0</v>
      </c>
      <c r="H395">
        <v>0</v>
      </c>
      <c r="J395" s="10">
        <v>36684.57</v>
      </c>
      <c r="K395" t="s">
        <v>35</v>
      </c>
      <c r="L395" s="1">
        <f t="shared" si="6"/>
        <v>-36684.57</v>
      </c>
      <c r="N395" s="6" t="str">
        <f>IF(ISERROR(VLOOKUP($A395,'Plano de Contas'!#REF!,8,FALSE)),"",VLOOKUP($A395,'Plano de Contas'!#REF!,8,FALSE))</f>
        <v/>
      </c>
      <c r="P395" s="6" t="str">
        <f>IF(ISERROR(VLOOKUP($A395,'Plano de Contas'!#REF!,10,FALSE)),"",VLOOKUP($A395,'Plano de Contas'!#REF!,10,FALSE))</f>
        <v/>
      </c>
    </row>
    <row r="396" spans="1:16" x14ac:dyDescent="0.25">
      <c r="A396" t="s">
        <v>674</v>
      </c>
      <c r="B396">
        <v>178</v>
      </c>
      <c r="C396" t="s">
        <v>675</v>
      </c>
      <c r="D396" s="10">
        <v>18298.990000000002</v>
      </c>
      <c r="E396" t="s">
        <v>35</v>
      </c>
      <c r="F396">
        <v>0</v>
      </c>
      <c r="H396">
        <v>0</v>
      </c>
      <c r="J396" s="10">
        <v>18298.990000000002</v>
      </c>
      <c r="K396" t="s">
        <v>35</v>
      </c>
      <c r="L396" s="1">
        <f t="shared" si="6"/>
        <v>-18298.990000000002</v>
      </c>
      <c r="N396" s="6" t="str">
        <f>IF(ISERROR(VLOOKUP($A396,'Plano de Contas'!#REF!,8,FALSE)),"",VLOOKUP($A396,'Plano de Contas'!#REF!,8,FALSE))</f>
        <v/>
      </c>
      <c r="P396" s="6" t="str">
        <f>IF(ISERROR(VLOOKUP($A396,'Plano de Contas'!#REF!,10,FALSE)),"",VLOOKUP($A396,'Plano de Contas'!#REF!,10,FALSE))</f>
        <v/>
      </c>
    </row>
    <row r="397" spans="1:16" x14ac:dyDescent="0.25">
      <c r="A397" t="s">
        <v>676</v>
      </c>
      <c r="B397">
        <v>179</v>
      </c>
      <c r="C397" t="s">
        <v>677</v>
      </c>
      <c r="D397" s="10">
        <v>18385.580000000002</v>
      </c>
      <c r="E397" t="s">
        <v>35</v>
      </c>
      <c r="F397">
        <v>0</v>
      </c>
      <c r="H397">
        <v>0</v>
      </c>
      <c r="J397" s="10">
        <v>18385.580000000002</v>
      </c>
      <c r="K397" t="s">
        <v>35</v>
      </c>
      <c r="L397" s="1">
        <f t="shared" si="6"/>
        <v>-18385.580000000002</v>
      </c>
      <c r="N397" s="6" t="str">
        <f>IF(ISERROR(VLOOKUP($A397,'Plano de Contas'!#REF!,8,FALSE)),"",VLOOKUP($A397,'Plano de Contas'!#REF!,8,FALSE))</f>
        <v/>
      </c>
      <c r="P397" s="6" t="str">
        <f>IF(ISERROR(VLOOKUP($A397,'Plano de Contas'!#REF!,10,FALSE)),"",VLOOKUP($A397,'Plano de Contas'!#REF!,10,FALSE))</f>
        <v/>
      </c>
    </row>
    <row r="398" spans="1:16" x14ac:dyDescent="0.25">
      <c r="L398" s="1">
        <f t="shared" si="6"/>
        <v>0</v>
      </c>
      <c r="N398" s="6" t="str">
        <f>IF(ISERROR(VLOOKUP($A398,'Plano de Contas'!#REF!,8,FALSE)),"",VLOOKUP($A398,'Plano de Contas'!#REF!,8,FALSE))</f>
        <v/>
      </c>
      <c r="P398" s="6" t="str">
        <f>IF(ISERROR(VLOOKUP($A398,'Plano de Contas'!#REF!,10,FALSE)),"",VLOOKUP($A398,'Plano de Contas'!#REF!,10,FALSE))</f>
        <v/>
      </c>
    </row>
    <row r="399" spans="1:16" x14ac:dyDescent="0.25">
      <c r="A399" t="s">
        <v>678</v>
      </c>
      <c r="B399">
        <v>180</v>
      </c>
      <c r="C399" t="s">
        <v>679</v>
      </c>
      <c r="D399" s="10">
        <v>363977070.60000002</v>
      </c>
      <c r="E399" t="s">
        <v>35</v>
      </c>
      <c r="F399">
        <v>0</v>
      </c>
      <c r="H399" s="10">
        <v>50000000</v>
      </c>
      <c r="I399" t="s">
        <v>35</v>
      </c>
      <c r="J399" s="10">
        <v>413977070.60000002</v>
      </c>
      <c r="K399" t="s">
        <v>35</v>
      </c>
      <c r="L399" s="1">
        <f t="shared" si="6"/>
        <v>-413977070.60000002</v>
      </c>
      <c r="N399" s="6" t="str">
        <f>IF(ISERROR(VLOOKUP($A399,'Plano de Contas'!#REF!,8,FALSE)),"",VLOOKUP($A399,'Plano de Contas'!#REF!,8,FALSE))</f>
        <v/>
      </c>
      <c r="P399" s="6" t="str">
        <f>IF(ISERROR(VLOOKUP($A399,'Plano de Contas'!#REF!,10,FALSE)),"",VLOOKUP($A399,'Plano de Contas'!#REF!,10,FALSE))</f>
        <v/>
      </c>
    </row>
    <row r="400" spans="1:16" x14ac:dyDescent="0.25">
      <c r="L400" s="1">
        <f t="shared" si="6"/>
        <v>0</v>
      </c>
      <c r="N400" s="6" t="str">
        <f>IF(ISERROR(VLOOKUP($A400,'Plano de Contas'!#REF!,8,FALSE)),"",VLOOKUP($A400,'Plano de Contas'!#REF!,8,FALSE))</f>
        <v/>
      </c>
      <c r="P400" s="6" t="str">
        <f>IF(ISERROR(VLOOKUP($A400,'Plano de Contas'!#REF!,10,FALSE)),"",VLOOKUP($A400,'Plano de Contas'!#REF!,10,FALSE))</f>
        <v/>
      </c>
    </row>
    <row r="401" spans="1:16" x14ac:dyDescent="0.25">
      <c r="A401" t="s">
        <v>680</v>
      </c>
      <c r="B401">
        <v>181</v>
      </c>
      <c r="C401" t="s">
        <v>681</v>
      </c>
      <c r="D401" s="10">
        <v>43164447</v>
      </c>
      <c r="E401" t="s">
        <v>35</v>
      </c>
      <c r="F401">
        <v>0</v>
      </c>
      <c r="H401">
        <v>0</v>
      </c>
      <c r="J401" s="10">
        <v>43164447</v>
      </c>
      <c r="K401" t="s">
        <v>35</v>
      </c>
      <c r="L401" s="1">
        <f t="shared" si="6"/>
        <v>-43164447</v>
      </c>
      <c r="N401" s="6" t="str">
        <f>IF(ISERROR(VLOOKUP($A401,'Plano de Contas'!#REF!,8,FALSE)),"",VLOOKUP($A401,'Plano de Contas'!#REF!,8,FALSE))</f>
        <v/>
      </c>
      <c r="P401" s="6" t="str">
        <f>IF(ISERROR(VLOOKUP($A401,'Plano de Contas'!#REF!,10,FALSE)),"",VLOOKUP($A401,'Plano de Contas'!#REF!,10,FALSE))</f>
        <v/>
      </c>
    </row>
    <row r="402" spans="1:16" x14ac:dyDescent="0.25">
      <c r="A402" t="s">
        <v>682</v>
      </c>
      <c r="B402">
        <v>695</v>
      </c>
      <c r="C402" t="s">
        <v>683</v>
      </c>
      <c r="D402" s="10">
        <v>43164447</v>
      </c>
      <c r="E402" t="s">
        <v>35</v>
      </c>
      <c r="F402">
        <v>0</v>
      </c>
      <c r="H402">
        <v>0</v>
      </c>
      <c r="J402" s="10">
        <v>43164447</v>
      </c>
      <c r="K402" t="s">
        <v>35</v>
      </c>
      <c r="L402" s="1">
        <f t="shared" si="6"/>
        <v>-43164447</v>
      </c>
      <c r="N402" s="6" t="str">
        <f>IF(ISERROR(VLOOKUP($A402,'Plano de Contas'!#REF!,8,FALSE)),"",VLOOKUP($A402,'Plano de Contas'!#REF!,8,FALSE))</f>
        <v/>
      </c>
      <c r="P402" s="6" t="str">
        <f>IF(ISERROR(VLOOKUP($A402,'Plano de Contas'!#REF!,10,FALSE)),"",VLOOKUP($A402,'Plano de Contas'!#REF!,10,FALSE))</f>
        <v/>
      </c>
    </row>
    <row r="403" spans="1:16" x14ac:dyDescent="0.25">
      <c r="L403" s="1">
        <f t="shared" si="6"/>
        <v>0</v>
      </c>
      <c r="N403" s="6" t="str">
        <f>IF(ISERROR(VLOOKUP($A403,'Plano de Contas'!#REF!,8,FALSE)),"",VLOOKUP($A403,'Plano de Contas'!#REF!,8,FALSE))</f>
        <v/>
      </c>
      <c r="P403" s="6" t="str">
        <f>IF(ISERROR(VLOOKUP($A403,'Plano de Contas'!#REF!,10,FALSE)),"",VLOOKUP($A403,'Plano de Contas'!#REF!,10,FALSE))</f>
        <v/>
      </c>
    </row>
    <row r="404" spans="1:16" x14ac:dyDescent="0.25">
      <c r="A404" t="s">
        <v>684</v>
      </c>
      <c r="B404">
        <v>574</v>
      </c>
      <c r="C404" t="s">
        <v>685</v>
      </c>
      <c r="D404" s="10">
        <v>320812623.60000002</v>
      </c>
      <c r="E404" t="s">
        <v>35</v>
      </c>
      <c r="F404">
        <v>0</v>
      </c>
      <c r="H404" s="10">
        <v>50000000</v>
      </c>
      <c r="I404" t="s">
        <v>35</v>
      </c>
      <c r="J404" s="10">
        <v>370812623.60000002</v>
      </c>
      <c r="K404" t="s">
        <v>35</v>
      </c>
      <c r="L404" s="1">
        <f t="shared" si="6"/>
        <v>-370812623.60000002</v>
      </c>
      <c r="N404" s="6" t="str">
        <f>IF(ISERROR(VLOOKUP($A404,'Plano de Contas'!#REF!,8,FALSE)),"",VLOOKUP($A404,'Plano de Contas'!#REF!,8,FALSE))</f>
        <v/>
      </c>
      <c r="P404" s="6" t="str">
        <f>IF(ISERROR(VLOOKUP($A404,'Plano de Contas'!#REF!,10,FALSE)),"",VLOOKUP($A404,'Plano de Contas'!#REF!,10,FALSE))</f>
        <v/>
      </c>
    </row>
    <row r="405" spans="1:16" x14ac:dyDescent="0.25">
      <c r="A405" t="s">
        <v>686</v>
      </c>
      <c r="B405">
        <v>575</v>
      </c>
      <c r="C405" t="s">
        <v>687</v>
      </c>
      <c r="D405" s="10">
        <v>320812623.60000002</v>
      </c>
      <c r="E405" t="s">
        <v>35</v>
      </c>
      <c r="F405">
        <v>0</v>
      </c>
      <c r="H405" s="10">
        <v>50000000</v>
      </c>
      <c r="I405" t="s">
        <v>35</v>
      </c>
      <c r="J405" s="10">
        <v>370812623.60000002</v>
      </c>
      <c r="K405" t="s">
        <v>35</v>
      </c>
      <c r="L405" s="1">
        <f t="shared" si="6"/>
        <v>-370812623.60000002</v>
      </c>
      <c r="N405" s="6" t="str">
        <f>IF(ISERROR(VLOOKUP($A405,'Plano de Contas'!#REF!,8,FALSE)),"",VLOOKUP($A405,'Plano de Contas'!#REF!,8,FALSE))</f>
        <v/>
      </c>
      <c r="P405" s="6" t="str">
        <f>IF(ISERROR(VLOOKUP($A405,'Plano de Contas'!#REF!,10,FALSE)),"",VLOOKUP($A405,'Plano de Contas'!#REF!,10,FALSE))</f>
        <v/>
      </c>
    </row>
    <row r="406" spans="1:16" x14ac:dyDescent="0.25">
      <c r="L406" s="1">
        <f t="shared" si="6"/>
        <v>0</v>
      </c>
      <c r="N406" s="6" t="str">
        <f>IF(ISERROR(VLOOKUP($A406,'Plano de Contas'!#REF!,8,FALSE)),"",VLOOKUP($A406,'Plano de Contas'!#REF!,8,FALSE))</f>
        <v/>
      </c>
      <c r="P406" s="6" t="str">
        <f>IF(ISERROR(VLOOKUP($A406,'Plano de Contas'!#REF!,10,FALSE)),"",VLOOKUP($A406,'Plano de Contas'!#REF!,10,FALSE))</f>
        <v/>
      </c>
    </row>
    <row r="407" spans="1:16" x14ac:dyDescent="0.25">
      <c r="A407" t="s">
        <v>688</v>
      </c>
      <c r="B407">
        <v>184</v>
      </c>
      <c r="C407" t="s">
        <v>689</v>
      </c>
      <c r="D407" s="10">
        <v>26870324.09</v>
      </c>
      <c r="F407">
        <v>0</v>
      </c>
      <c r="H407">
        <v>0</v>
      </c>
      <c r="J407" s="10">
        <v>26870324.09</v>
      </c>
      <c r="L407" s="1">
        <f t="shared" si="6"/>
        <v>26870324.09</v>
      </c>
      <c r="N407" s="6" t="str">
        <f>IF(ISERROR(VLOOKUP($A407,'Plano de Contas'!#REF!,8,FALSE)),"",VLOOKUP($A407,'Plano de Contas'!#REF!,8,FALSE))</f>
        <v/>
      </c>
      <c r="P407" s="6" t="str">
        <f>IF(ISERROR(VLOOKUP($A407,'Plano de Contas'!#REF!,10,FALSE)),"",VLOOKUP($A407,'Plano de Contas'!#REF!,10,FALSE))</f>
        <v/>
      </c>
    </row>
    <row r="408" spans="1:16" x14ac:dyDescent="0.25">
      <c r="L408" s="1">
        <f t="shared" si="6"/>
        <v>0</v>
      </c>
      <c r="N408" s="6" t="str">
        <f>IF(ISERROR(VLOOKUP($A408,'Plano de Contas'!#REF!,8,FALSE)),"",VLOOKUP($A408,'Plano de Contas'!#REF!,8,FALSE))</f>
        <v/>
      </c>
      <c r="P408" s="6" t="str">
        <f>IF(ISERROR(VLOOKUP($A408,'Plano de Contas'!#REF!,10,FALSE)),"",VLOOKUP($A408,'Plano de Contas'!#REF!,10,FALSE))</f>
        <v/>
      </c>
    </row>
    <row r="409" spans="1:16" x14ac:dyDescent="0.25">
      <c r="A409" t="s">
        <v>690</v>
      </c>
      <c r="B409">
        <v>185</v>
      </c>
      <c r="C409" t="s">
        <v>691</v>
      </c>
      <c r="D409" s="10">
        <v>26870324.09</v>
      </c>
      <c r="F409">
        <v>0</v>
      </c>
      <c r="H409">
        <v>0</v>
      </c>
      <c r="J409" s="10">
        <v>26870324.09</v>
      </c>
      <c r="L409" s="1">
        <f t="shared" si="6"/>
        <v>26870324.09</v>
      </c>
      <c r="N409" s="6" t="str">
        <f>IF(ISERROR(VLOOKUP($A409,'Plano de Contas'!#REF!,8,FALSE)),"",VLOOKUP($A409,'Plano de Contas'!#REF!,8,FALSE))</f>
        <v/>
      </c>
      <c r="P409" s="6" t="str">
        <f>IF(ISERROR(VLOOKUP($A409,'Plano de Contas'!#REF!,10,FALSE)),"",VLOOKUP($A409,'Plano de Contas'!#REF!,10,FALSE))</f>
        <v/>
      </c>
    </row>
    <row r="410" spans="1:16" x14ac:dyDescent="0.25">
      <c r="A410" t="s">
        <v>692</v>
      </c>
      <c r="B410">
        <v>186</v>
      </c>
      <c r="C410" t="s">
        <v>693</v>
      </c>
      <c r="D410" s="10">
        <v>26954984.98</v>
      </c>
      <c r="F410">
        <v>0</v>
      </c>
      <c r="H410">
        <v>0</v>
      </c>
      <c r="J410" s="10">
        <v>26954984.98</v>
      </c>
      <c r="L410" s="1">
        <f t="shared" si="6"/>
        <v>26954984.98</v>
      </c>
      <c r="N410" s="6" t="str">
        <f>IF(ISERROR(VLOOKUP($A410,'Plano de Contas'!#REF!,8,FALSE)),"",VLOOKUP($A410,'Plano de Contas'!#REF!,8,FALSE))</f>
        <v/>
      </c>
      <c r="P410" s="6" t="str">
        <f>IF(ISERROR(VLOOKUP($A410,'Plano de Contas'!#REF!,10,FALSE)),"",VLOOKUP($A410,'Plano de Contas'!#REF!,10,FALSE))</f>
        <v/>
      </c>
    </row>
    <row r="411" spans="1:16" x14ac:dyDescent="0.25">
      <c r="A411" t="s">
        <v>694</v>
      </c>
      <c r="B411">
        <v>187</v>
      </c>
      <c r="C411" t="s">
        <v>695</v>
      </c>
      <c r="D411" s="10">
        <v>8675838.0299999993</v>
      </c>
      <c r="F411">
        <v>0</v>
      </c>
      <c r="H411">
        <v>0</v>
      </c>
      <c r="J411" s="10">
        <v>8675838.0299999993</v>
      </c>
      <c r="L411" s="1">
        <f t="shared" si="6"/>
        <v>8675838.0299999993</v>
      </c>
      <c r="N411" s="6" t="str">
        <f>IF(ISERROR(VLOOKUP($A411,'Plano de Contas'!#REF!,8,FALSE)),"",VLOOKUP($A411,'Plano de Contas'!#REF!,8,FALSE))</f>
        <v/>
      </c>
      <c r="P411" s="6" t="str">
        <f>IF(ISERROR(VLOOKUP($A411,'Plano de Contas'!#REF!,10,FALSE)),"",VLOOKUP($A411,'Plano de Contas'!#REF!,10,FALSE))</f>
        <v/>
      </c>
    </row>
    <row r="412" spans="1:16" x14ac:dyDescent="0.25">
      <c r="A412" t="s">
        <v>696</v>
      </c>
      <c r="B412">
        <v>188</v>
      </c>
      <c r="C412" t="s">
        <v>697</v>
      </c>
      <c r="D412" s="10">
        <v>2141957.19</v>
      </c>
      <c r="F412">
        <v>0</v>
      </c>
      <c r="H412">
        <v>0</v>
      </c>
      <c r="J412" s="10">
        <v>2141957.19</v>
      </c>
      <c r="L412" s="1">
        <f t="shared" si="6"/>
        <v>2141957.19</v>
      </c>
      <c r="N412" s="6" t="str">
        <f>IF(ISERROR(VLOOKUP($A412,'Plano de Contas'!#REF!,8,FALSE)),"",VLOOKUP($A412,'Plano de Contas'!#REF!,8,FALSE))</f>
        <v/>
      </c>
      <c r="P412" s="6" t="str">
        <f>IF(ISERROR(VLOOKUP($A412,'Plano de Contas'!#REF!,10,FALSE)),"",VLOOKUP($A412,'Plano de Contas'!#REF!,10,FALSE))</f>
        <v/>
      </c>
    </row>
    <row r="413" spans="1:16" x14ac:dyDescent="0.25">
      <c r="A413" t="s">
        <v>698</v>
      </c>
      <c r="B413">
        <v>189</v>
      </c>
      <c r="C413" t="s">
        <v>699</v>
      </c>
      <c r="D413" s="10">
        <v>-124185.7</v>
      </c>
      <c r="F413">
        <v>0</v>
      </c>
      <c r="H413">
        <v>0</v>
      </c>
      <c r="J413" s="10">
        <v>-124185.7</v>
      </c>
      <c r="L413" s="1">
        <f t="shared" si="6"/>
        <v>-124185.7</v>
      </c>
      <c r="N413" s="6" t="str">
        <f>IF(ISERROR(VLOOKUP($A413,'Plano de Contas'!#REF!,8,FALSE)),"",VLOOKUP($A413,'Plano de Contas'!#REF!,8,FALSE))</f>
        <v/>
      </c>
      <c r="P413" s="6" t="str">
        <f>IF(ISERROR(VLOOKUP($A413,'Plano de Contas'!#REF!,10,FALSE)),"",VLOOKUP($A413,'Plano de Contas'!#REF!,10,FALSE))</f>
        <v/>
      </c>
    </row>
    <row r="414" spans="1:16" x14ac:dyDescent="0.25">
      <c r="A414" t="s">
        <v>700</v>
      </c>
      <c r="B414">
        <v>190</v>
      </c>
      <c r="C414" t="s">
        <v>701</v>
      </c>
      <c r="D414" s="10">
        <v>838752.19</v>
      </c>
      <c r="F414">
        <v>0</v>
      </c>
      <c r="H414">
        <v>0</v>
      </c>
      <c r="J414" s="10">
        <v>838752.19</v>
      </c>
      <c r="L414" s="1">
        <f t="shared" si="6"/>
        <v>838752.19</v>
      </c>
      <c r="N414" s="6" t="str">
        <f>IF(ISERROR(VLOOKUP($A414,'Plano de Contas'!#REF!,8,FALSE)),"",VLOOKUP($A414,'Plano de Contas'!#REF!,8,FALSE))</f>
        <v/>
      </c>
      <c r="P414" s="6" t="str">
        <f>IF(ISERROR(VLOOKUP($A414,'Plano de Contas'!#REF!,10,FALSE)),"",VLOOKUP($A414,'Plano de Contas'!#REF!,10,FALSE))</f>
        <v/>
      </c>
    </row>
    <row r="415" spans="1:16" x14ac:dyDescent="0.25">
      <c r="A415" t="s">
        <v>702</v>
      </c>
      <c r="B415">
        <v>191</v>
      </c>
      <c r="C415" t="s">
        <v>703</v>
      </c>
      <c r="D415" s="10">
        <v>458264.12</v>
      </c>
      <c r="E415" t="s">
        <v>35</v>
      </c>
      <c r="F415">
        <v>0</v>
      </c>
      <c r="H415">
        <v>0</v>
      </c>
      <c r="J415" s="10">
        <v>458264.12</v>
      </c>
      <c r="K415" t="s">
        <v>35</v>
      </c>
      <c r="L415" s="1">
        <f t="shared" si="6"/>
        <v>-458264.12</v>
      </c>
      <c r="N415" s="6" t="str">
        <f>IF(ISERROR(VLOOKUP($A415,'Plano de Contas'!#REF!,8,FALSE)),"",VLOOKUP($A415,'Plano de Contas'!#REF!,8,FALSE))</f>
        <v/>
      </c>
      <c r="P415" s="6" t="str">
        <f>IF(ISERROR(VLOOKUP($A415,'Plano de Contas'!#REF!,10,FALSE)),"",VLOOKUP($A415,'Plano de Contas'!#REF!,10,FALSE))</f>
        <v/>
      </c>
    </row>
    <row r="416" spans="1:16" x14ac:dyDescent="0.25">
      <c r="A416" t="s">
        <v>704</v>
      </c>
      <c r="B416">
        <v>192</v>
      </c>
      <c r="C416" t="s">
        <v>705</v>
      </c>
      <c r="D416" s="10">
        <v>174603.05</v>
      </c>
      <c r="E416" t="s">
        <v>35</v>
      </c>
      <c r="F416">
        <v>0</v>
      </c>
      <c r="H416">
        <v>0</v>
      </c>
      <c r="J416" s="10">
        <v>174603.05</v>
      </c>
      <c r="K416" t="s">
        <v>35</v>
      </c>
      <c r="L416" s="1">
        <f t="shared" si="6"/>
        <v>-174603.05</v>
      </c>
      <c r="N416" s="6" t="str">
        <f>IF(ISERROR(VLOOKUP($A416,'Plano de Contas'!#REF!,8,FALSE)),"",VLOOKUP($A416,'Plano de Contas'!#REF!,8,FALSE))</f>
        <v/>
      </c>
      <c r="P416" s="6" t="str">
        <f>IF(ISERROR(VLOOKUP($A416,'Plano de Contas'!#REF!,10,FALSE)),"",VLOOKUP($A416,'Plano de Contas'!#REF!,10,FALSE))</f>
        <v/>
      </c>
    </row>
    <row r="417" spans="1:16" x14ac:dyDescent="0.25">
      <c r="A417" t="s">
        <v>706</v>
      </c>
      <c r="B417">
        <v>193</v>
      </c>
      <c r="C417" t="s">
        <v>707</v>
      </c>
      <c r="D417" s="10">
        <v>2891094.37</v>
      </c>
      <c r="E417" t="s">
        <v>35</v>
      </c>
      <c r="F417">
        <v>0</v>
      </c>
      <c r="H417">
        <v>0</v>
      </c>
      <c r="J417" s="10">
        <v>2891094.37</v>
      </c>
      <c r="K417" t="s">
        <v>35</v>
      </c>
      <c r="L417" s="1">
        <f t="shared" si="6"/>
        <v>-2891094.37</v>
      </c>
      <c r="N417" s="6" t="str">
        <f>IF(ISERROR(VLOOKUP($A417,'Plano de Contas'!#REF!,8,FALSE)),"",VLOOKUP($A417,'Plano de Contas'!#REF!,8,FALSE))</f>
        <v/>
      </c>
      <c r="P417" s="6" t="str">
        <f>IF(ISERROR(VLOOKUP($A417,'Plano de Contas'!#REF!,10,FALSE)),"",VLOOKUP($A417,'Plano de Contas'!#REF!,10,FALSE))</f>
        <v/>
      </c>
    </row>
    <row r="418" spans="1:16" x14ac:dyDescent="0.25">
      <c r="A418" t="s">
        <v>708</v>
      </c>
      <c r="B418">
        <v>194</v>
      </c>
      <c r="C418" t="s">
        <v>709</v>
      </c>
      <c r="D418" s="10">
        <v>2541359.94</v>
      </c>
      <c r="E418" t="s">
        <v>35</v>
      </c>
      <c r="F418">
        <v>0</v>
      </c>
      <c r="H418">
        <v>0</v>
      </c>
      <c r="J418" s="10">
        <v>2541359.94</v>
      </c>
      <c r="K418" t="s">
        <v>35</v>
      </c>
      <c r="L418" s="1">
        <f t="shared" si="6"/>
        <v>-2541359.94</v>
      </c>
      <c r="N418" s="6" t="str">
        <f>IF(ISERROR(VLOOKUP($A418,'Plano de Contas'!#REF!,8,FALSE)),"",VLOOKUP($A418,'Plano de Contas'!#REF!,8,FALSE))</f>
        <v/>
      </c>
      <c r="P418" s="6" t="str">
        <f>IF(ISERROR(VLOOKUP($A418,'Plano de Contas'!#REF!,10,FALSE)),"",VLOOKUP($A418,'Plano de Contas'!#REF!,10,FALSE))</f>
        <v/>
      </c>
    </row>
    <row r="419" spans="1:16" x14ac:dyDescent="0.25">
      <c r="A419" t="s">
        <v>710</v>
      </c>
      <c r="B419">
        <v>434</v>
      </c>
      <c r="C419" t="s">
        <v>711</v>
      </c>
      <c r="D419" s="10">
        <v>1894837.76</v>
      </c>
      <c r="F419">
        <v>0</v>
      </c>
      <c r="H419">
        <v>0</v>
      </c>
      <c r="J419" s="10">
        <v>1894837.76</v>
      </c>
      <c r="L419" s="1">
        <f t="shared" si="6"/>
        <v>1894837.76</v>
      </c>
      <c r="N419" s="6" t="str">
        <f>IF(ISERROR(VLOOKUP($A419,'Plano de Contas'!#REF!,8,FALSE)),"",VLOOKUP($A419,'Plano de Contas'!#REF!,8,FALSE))</f>
        <v/>
      </c>
      <c r="P419" s="6" t="str">
        <f>IF(ISERROR(VLOOKUP($A419,'Plano de Contas'!#REF!,10,FALSE)),"",VLOOKUP($A419,'Plano de Contas'!#REF!,10,FALSE))</f>
        <v/>
      </c>
    </row>
    <row r="420" spans="1:16" x14ac:dyDescent="0.25">
      <c r="A420" t="s">
        <v>712</v>
      </c>
      <c r="B420">
        <v>435</v>
      </c>
      <c r="C420" t="s">
        <v>713</v>
      </c>
      <c r="D420" s="10">
        <v>938820.84</v>
      </c>
      <c r="F420">
        <v>0</v>
      </c>
      <c r="H420">
        <v>0</v>
      </c>
      <c r="J420" s="10">
        <v>938820.84</v>
      </c>
      <c r="L420" s="1">
        <f t="shared" si="6"/>
        <v>938820.84</v>
      </c>
      <c r="N420" s="6" t="str">
        <f>IF(ISERROR(VLOOKUP($A420,'Plano de Contas'!#REF!,8,FALSE)),"",VLOOKUP($A420,'Plano de Contas'!#REF!,8,FALSE))</f>
        <v/>
      </c>
      <c r="P420" s="6" t="str">
        <f>IF(ISERROR(VLOOKUP($A420,'Plano de Contas'!#REF!,10,FALSE)),"",VLOOKUP($A420,'Plano de Contas'!#REF!,10,FALSE))</f>
        <v/>
      </c>
    </row>
    <row r="421" spans="1:16" x14ac:dyDescent="0.25">
      <c r="A421" t="s">
        <v>714</v>
      </c>
      <c r="B421">
        <v>482</v>
      </c>
      <c r="C421" t="s">
        <v>715</v>
      </c>
      <c r="D421" s="10">
        <v>8123088.2400000002</v>
      </c>
      <c r="F421">
        <v>0</v>
      </c>
      <c r="H421">
        <v>0</v>
      </c>
      <c r="J421" s="10">
        <v>8123088.2400000002</v>
      </c>
      <c r="L421" s="1">
        <f t="shared" si="6"/>
        <v>8123088.2400000002</v>
      </c>
      <c r="N421" s="6" t="str">
        <f>IF(ISERROR(VLOOKUP($A421,'Plano de Contas'!#REF!,8,FALSE)),"",VLOOKUP($A421,'Plano de Contas'!#REF!,8,FALSE))</f>
        <v/>
      </c>
      <c r="P421" s="6" t="str">
        <f>IF(ISERROR(VLOOKUP($A421,'Plano de Contas'!#REF!,10,FALSE)),"",VLOOKUP($A421,'Plano de Contas'!#REF!,10,FALSE))</f>
        <v/>
      </c>
    </row>
    <row r="422" spans="1:16" x14ac:dyDescent="0.25">
      <c r="A422" t="s">
        <v>716</v>
      </c>
      <c r="B422">
        <v>516</v>
      </c>
      <c r="C422" t="s">
        <v>717</v>
      </c>
      <c r="D422" s="10">
        <v>350983.15</v>
      </c>
      <c r="F422">
        <v>0</v>
      </c>
      <c r="H422">
        <v>0</v>
      </c>
      <c r="J422" s="10">
        <v>350983.15</v>
      </c>
      <c r="L422" s="1">
        <f t="shared" si="6"/>
        <v>350983.15</v>
      </c>
      <c r="N422" s="6" t="str">
        <f>IF(ISERROR(VLOOKUP($A422,'Plano de Contas'!#REF!,8,FALSE)),"",VLOOKUP($A422,'Plano de Contas'!#REF!,8,FALSE))</f>
        <v/>
      </c>
      <c r="P422" s="6" t="str">
        <f>IF(ISERROR(VLOOKUP($A422,'Plano de Contas'!#REF!,10,FALSE)),"",VLOOKUP($A422,'Plano de Contas'!#REF!,10,FALSE))</f>
        <v/>
      </c>
    </row>
    <row r="423" spans="1:16" x14ac:dyDescent="0.25">
      <c r="A423" t="s">
        <v>718</v>
      </c>
      <c r="B423">
        <v>530</v>
      </c>
      <c r="C423" t="s">
        <v>719</v>
      </c>
      <c r="D423" s="10">
        <v>15746.32</v>
      </c>
      <c r="F423">
        <v>0</v>
      </c>
      <c r="H423">
        <v>0</v>
      </c>
      <c r="J423" s="10">
        <v>15746.32</v>
      </c>
      <c r="L423" s="1">
        <f t="shared" si="6"/>
        <v>15746.32</v>
      </c>
      <c r="N423" s="6" t="str">
        <f>IF(ISERROR(VLOOKUP($A423,'Plano de Contas'!#REF!,8,FALSE)),"",VLOOKUP($A423,'Plano de Contas'!#REF!,8,FALSE))</f>
        <v/>
      </c>
      <c r="P423" s="6" t="str">
        <f>IF(ISERROR(VLOOKUP($A423,'Plano de Contas'!#REF!,10,FALSE)),"",VLOOKUP($A423,'Plano de Contas'!#REF!,10,FALSE))</f>
        <v/>
      </c>
    </row>
    <row r="424" spans="1:16" x14ac:dyDescent="0.25">
      <c r="A424" t="s">
        <v>720</v>
      </c>
      <c r="B424">
        <v>536</v>
      </c>
      <c r="C424" t="s">
        <v>721</v>
      </c>
      <c r="D424" s="10">
        <v>3372654.07</v>
      </c>
      <c r="F424">
        <v>0</v>
      </c>
      <c r="H424">
        <v>0</v>
      </c>
      <c r="J424" s="10">
        <v>3372654.07</v>
      </c>
      <c r="L424" s="1">
        <f t="shared" si="6"/>
        <v>3372654.07</v>
      </c>
      <c r="N424" s="6" t="str">
        <f>IF(ISERROR(VLOOKUP($A424,'Plano de Contas'!#REF!,8,FALSE)),"",VLOOKUP($A424,'Plano de Contas'!#REF!,8,FALSE))</f>
        <v/>
      </c>
      <c r="P424" s="6" t="str">
        <f>IF(ISERROR(VLOOKUP($A424,'Plano de Contas'!#REF!,10,FALSE)),"",VLOOKUP($A424,'Plano de Contas'!#REF!,10,FALSE))</f>
        <v/>
      </c>
    </row>
    <row r="425" spans="1:16" x14ac:dyDescent="0.25">
      <c r="A425" t="s">
        <v>722</v>
      </c>
      <c r="B425">
        <v>580</v>
      </c>
      <c r="C425" t="s">
        <v>723</v>
      </c>
      <c r="D425" s="10">
        <v>2201168.39</v>
      </c>
      <c r="E425" t="s">
        <v>35</v>
      </c>
      <c r="F425">
        <v>0</v>
      </c>
      <c r="H425">
        <v>0</v>
      </c>
      <c r="J425" s="10">
        <v>2201168.39</v>
      </c>
      <c r="K425" t="s">
        <v>35</v>
      </c>
      <c r="L425" s="1">
        <f t="shared" si="6"/>
        <v>-2201168.39</v>
      </c>
      <c r="N425" s="6" t="str">
        <f>IF(ISERROR(VLOOKUP($A425,'Plano de Contas'!#REF!,8,FALSE)),"",VLOOKUP($A425,'Plano de Contas'!#REF!,8,FALSE))</f>
        <v/>
      </c>
      <c r="P425" s="6" t="str">
        <f>IF(ISERROR(VLOOKUP($A425,'Plano de Contas'!#REF!,10,FALSE)),"",VLOOKUP($A425,'Plano de Contas'!#REF!,10,FALSE))</f>
        <v/>
      </c>
    </row>
    <row r="426" spans="1:16" x14ac:dyDescent="0.25">
      <c r="A426" t="s">
        <v>724</v>
      </c>
      <c r="B426">
        <v>626</v>
      </c>
      <c r="C426" t="s">
        <v>725</v>
      </c>
      <c r="D426" s="10">
        <v>557955.16</v>
      </c>
      <c r="F426">
        <v>0</v>
      </c>
      <c r="H426">
        <v>0</v>
      </c>
      <c r="J426" s="10">
        <v>557955.16</v>
      </c>
      <c r="L426" s="1">
        <f t="shared" si="6"/>
        <v>557955.16</v>
      </c>
      <c r="N426" s="6" t="str">
        <f>IF(ISERROR(VLOOKUP($A426,'Plano de Contas'!#REF!,8,FALSE)),"",VLOOKUP($A426,'Plano de Contas'!#REF!,8,FALSE))</f>
        <v/>
      </c>
      <c r="P426" s="6" t="str">
        <f>IF(ISERROR(VLOOKUP($A426,'Plano de Contas'!#REF!,10,FALSE)),"",VLOOKUP($A426,'Plano de Contas'!#REF!,10,FALSE))</f>
        <v/>
      </c>
    </row>
    <row r="427" spans="1:16" x14ac:dyDescent="0.25">
      <c r="A427" t="s">
        <v>726</v>
      </c>
      <c r="B427">
        <v>664</v>
      </c>
      <c r="C427" t="s">
        <v>727</v>
      </c>
      <c r="D427" s="10">
        <v>1363657.14</v>
      </c>
      <c r="E427" t="s">
        <v>35</v>
      </c>
      <c r="F427">
        <v>0</v>
      </c>
      <c r="H427">
        <v>0</v>
      </c>
      <c r="J427" s="10">
        <v>1363657.14</v>
      </c>
      <c r="K427" t="s">
        <v>35</v>
      </c>
      <c r="L427" s="1">
        <f t="shared" si="6"/>
        <v>-1363657.14</v>
      </c>
      <c r="N427" s="6" t="str">
        <f>IF(ISERROR(VLOOKUP($A427,'Plano de Contas'!#REF!,8,FALSE)),"",VLOOKUP($A427,'Plano de Contas'!#REF!,8,FALSE))</f>
        <v/>
      </c>
      <c r="P427" s="6" t="str">
        <f>IF(ISERROR(VLOOKUP($A427,'Plano de Contas'!#REF!,10,FALSE)),"",VLOOKUP($A427,'Plano de Contas'!#REF!,10,FALSE))</f>
        <v/>
      </c>
    </row>
    <row r="428" spans="1:16" x14ac:dyDescent="0.25">
      <c r="A428" t="s">
        <v>728</v>
      </c>
      <c r="B428">
        <v>714</v>
      </c>
      <c r="C428" t="s">
        <v>729</v>
      </c>
      <c r="D428" s="10">
        <v>876196.77</v>
      </c>
      <c r="F428">
        <v>0</v>
      </c>
      <c r="H428">
        <v>0</v>
      </c>
      <c r="J428" s="10">
        <v>876196.77</v>
      </c>
      <c r="L428" s="1">
        <f t="shared" si="6"/>
        <v>876196.77</v>
      </c>
      <c r="N428" s="6" t="str">
        <f>IF(ISERROR(VLOOKUP($A428,'Plano de Contas'!#REF!,8,FALSE)),"",VLOOKUP($A428,'Plano de Contas'!#REF!,8,FALSE))</f>
        <v/>
      </c>
      <c r="P428" s="6" t="str">
        <f>IF(ISERROR(VLOOKUP($A428,'Plano de Contas'!#REF!,10,FALSE)),"",VLOOKUP($A428,'Plano de Contas'!#REF!,10,FALSE))</f>
        <v/>
      </c>
    </row>
    <row r="429" spans="1:16" x14ac:dyDescent="0.25">
      <c r="A429" t="s">
        <v>730</v>
      </c>
      <c r="B429">
        <v>911</v>
      </c>
      <c r="C429" t="s">
        <v>731</v>
      </c>
      <c r="D429" s="10">
        <v>18117157.899999999</v>
      </c>
      <c r="E429" t="s">
        <v>35</v>
      </c>
      <c r="F429">
        <v>0</v>
      </c>
      <c r="H429">
        <v>0</v>
      </c>
      <c r="J429" s="10">
        <v>18117157.899999999</v>
      </c>
      <c r="K429" t="s">
        <v>35</v>
      </c>
      <c r="L429" s="1">
        <f t="shared" si="6"/>
        <v>-18117157.899999999</v>
      </c>
      <c r="N429" s="6" t="str">
        <f>IF(ISERROR(VLOOKUP($A429,'Plano de Contas'!#REF!,8,FALSE)),"",VLOOKUP($A429,'Plano de Contas'!#REF!,8,FALSE))</f>
        <v/>
      </c>
      <c r="P429" s="6" t="str">
        <f>IF(ISERROR(VLOOKUP($A429,'Plano de Contas'!#REF!,10,FALSE)),"",VLOOKUP($A429,'Plano de Contas'!#REF!,10,FALSE))</f>
        <v/>
      </c>
    </row>
    <row r="430" spans="1:16" x14ac:dyDescent="0.25">
      <c r="L430" s="1">
        <f t="shared" si="6"/>
        <v>0</v>
      </c>
      <c r="N430" s="6" t="str">
        <f>IF(ISERROR(VLOOKUP($A430,'Plano de Contas'!#REF!,8,FALSE)),"",VLOOKUP($A430,'Plano de Contas'!#REF!,8,FALSE))</f>
        <v/>
      </c>
      <c r="P430" s="6" t="str">
        <f>IF(ISERROR(VLOOKUP($A430,'Plano de Contas'!#REF!,10,FALSE)),"",VLOOKUP($A430,'Plano de Contas'!#REF!,10,FALSE))</f>
        <v/>
      </c>
    </row>
    <row r="431" spans="1:16" x14ac:dyDescent="0.25">
      <c r="A431">
        <v>3</v>
      </c>
      <c r="B431">
        <v>195</v>
      </c>
      <c r="C431" t="s">
        <v>734</v>
      </c>
      <c r="D431" s="10">
        <v>3860432.26</v>
      </c>
      <c r="F431" s="10">
        <v>12259747.68</v>
      </c>
      <c r="H431" s="10">
        <v>9756634.7400000002</v>
      </c>
      <c r="I431" t="s">
        <v>35</v>
      </c>
      <c r="J431" s="10">
        <v>6363545.2000000002</v>
      </c>
      <c r="L431" s="1">
        <f t="shared" si="6"/>
        <v>6363545.2000000002</v>
      </c>
      <c r="N431" s="6" t="str">
        <f>IF(ISERROR(VLOOKUP($A431,'Plano de Contas'!#REF!,8,FALSE)),"",VLOOKUP($A431,'Plano de Contas'!#REF!,8,FALSE))</f>
        <v/>
      </c>
      <c r="P431" s="6" t="str">
        <f>IF(ISERROR(VLOOKUP($A431,'Plano de Contas'!#REF!,10,FALSE)),"",VLOOKUP($A431,'Plano de Contas'!#REF!,10,FALSE))</f>
        <v/>
      </c>
    </row>
    <row r="432" spans="1:16" x14ac:dyDescent="0.25">
      <c r="L432" s="1">
        <f t="shared" si="6"/>
        <v>0</v>
      </c>
      <c r="N432" s="6" t="str">
        <f>IF(ISERROR(VLOOKUP($A432,'Plano de Contas'!#REF!,8,FALSE)),"",VLOOKUP($A432,'Plano de Contas'!#REF!,8,FALSE))</f>
        <v/>
      </c>
      <c r="P432" s="6" t="str">
        <f>IF(ISERROR(VLOOKUP($A432,'Plano de Contas'!#REF!,10,FALSE)),"",VLOOKUP($A432,'Plano de Contas'!#REF!,10,FALSE))</f>
        <v/>
      </c>
    </row>
    <row r="433" spans="1:16" x14ac:dyDescent="0.25">
      <c r="A433" t="s">
        <v>735</v>
      </c>
      <c r="B433">
        <v>196</v>
      </c>
      <c r="C433" t="s">
        <v>736</v>
      </c>
      <c r="D433" s="10">
        <v>4422416.41</v>
      </c>
      <c r="F433" s="10">
        <v>12064396.02</v>
      </c>
      <c r="H433" s="10">
        <v>9273721.3699999992</v>
      </c>
      <c r="I433" t="s">
        <v>35</v>
      </c>
      <c r="J433" s="10">
        <v>7213091.0599999996</v>
      </c>
      <c r="L433" s="1">
        <f t="shared" si="6"/>
        <v>7213091.0599999996</v>
      </c>
      <c r="N433" s="6" t="str">
        <f>IF(ISERROR(VLOOKUP($A433,'Plano de Contas'!#REF!,8,FALSE)),"",VLOOKUP($A433,'Plano de Contas'!#REF!,8,FALSE))</f>
        <v/>
      </c>
      <c r="P433" s="6" t="str">
        <f>IF(ISERROR(VLOOKUP($A433,'Plano de Contas'!#REF!,10,FALSE)),"",VLOOKUP($A433,'Plano de Contas'!#REF!,10,FALSE))</f>
        <v/>
      </c>
    </row>
    <row r="434" spans="1:16" x14ac:dyDescent="0.25">
      <c r="L434" s="1">
        <f t="shared" si="6"/>
        <v>0</v>
      </c>
      <c r="N434" s="6" t="str">
        <f>IF(ISERROR(VLOOKUP($A434,'Plano de Contas'!#REF!,8,FALSE)),"",VLOOKUP($A434,'Plano de Contas'!#REF!,8,FALSE))</f>
        <v/>
      </c>
      <c r="P434" s="6" t="str">
        <f>IF(ISERROR(VLOOKUP($A434,'Plano de Contas'!#REF!,10,FALSE)),"",VLOOKUP($A434,'Plano de Contas'!#REF!,10,FALSE))</f>
        <v/>
      </c>
    </row>
    <row r="435" spans="1:16" x14ac:dyDescent="0.25">
      <c r="A435" t="s">
        <v>737</v>
      </c>
      <c r="B435">
        <v>197</v>
      </c>
      <c r="C435" t="s">
        <v>738</v>
      </c>
      <c r="D435" s="10">
        <v>63109206.68</v>
      </c>
      <c r="E435" t="s">
        <v>35</v>
      </c>
      <c r="F435" s="10">
        <v>784678.43</v>
      </c>
      <c r="H435" s="10">
        <v>7249792.71</v>
      </c>
      <c r="I435" t="s">
        <v>35</v>
      </c>
      <c r="J435" s="10">
        <v>69574320.959999993</v>
      </c>
      <c r="K435" t="s">
        <v>35</v>
      </c>
      <c r="L435" s="1">
        <f t="shared" si="6"/>
        <v>-69574320.959999993</v>
      </c>
      <c r="N435" s="6" t="str">
        <f>IF(ISERROR(VLOOKUP($A435,'Plano de Contas'!#REF!,8,FALSE)),"",VLOOKUP($A435,'Plano de Contas'!#REF!,8,FALSE))</f>
        <v/>
      </c>
      <c r="P435" s="6" t="str">
        <f>IF(ISERROR(VLOOKUP($A435,'Plano de Contas'!#REF!,10,FALSE)),"",VLOOKUP($A435,'Plano de Contas'!#REF!,10,FALSE))</f>
        <v/>
      </c>
    </row>
    <row r="436" spans="1:16" x14ac:dyDescent="0.25">
      <c r="L436" s="1">
        <f t="shared" si="6"/>
        <v>0</v>
      </c>
      <c r="N436" s="6" t="str">
        <f>IF(ISERROR(VLOOKUP($A436,'Plano de Contas'!#REF!,8,FALSE)),"",VLOOKUP($A436,'Plano de Contas'!#REF!,8,FALSE))</f>
        <v/>
      </c>
      <c r="P436" s="6" t="str">
        <f>IF(ISERROR(VLOOKUP($A436,'Plano de Contas'!#REF!,10,FALSE)),"",VLOOKUP($A436,'Plano de Contas'!#REF!,10,FALSE))</f>
        <v/>
      </c>
    </row>
    <row r="437" spans="1:16" x14ac:dyDescent="0.25">
      <c r="A437" t="s">
        <v>739</v>
      </c>
      <c r="B437">
        <v>198</v>
      </c>
      <c r="C437" t="s">
        <v>740</v>
      </c>
      <c r="D437" s="10">
        <v>70719006.359999999</v>
      </c>
      <c r="E437" t="s">
        <v>35</v>
      </c>
      <c r="F437">
        <v>628.73</v>
      </c>
      <c r="H437" s="10">
        <v>7249792.71</v>
      </c>
      <c r="I437" t="s">
        <v>35</v>
      </c>
      <c r="J437" s="10">
        <v>77968170.340000004</v>
      </c>
      <c r="K437" t="s">
        <v>35</v>
      </c>
      <c r="L437" s="1">
        <f t="shared" si="6"/>
        <v>-77968170.340000004</v>
      </c>
      <c r="N437" s="6" t="str">
        <f>IF(ISERROR(VLOOKUP($A437,'Plano de Contas'!#REF!,8,FALSE)),"",VLOOKUP($A437,'Plano de Contas'!#REF!,8,FALSE))</f>
        <v/>
      </c>
      <c r="P437" s="6" t="str">
        <f>IF(ISERROR(VLOOKUP($A437,'Plano de Contas'!#REF!,10,FALSE)),"",VLOOKUP($A437,'Plano de Contas'!#REF!,10,FALSE))</f>
        <v/>
      </c>
    </row>
    <row r="438" spans="1:16" x14ac:dyDescent="0.25">
      <c r="A438" t="s">
        <v>741</v>
      </c>
      <c r="B438">
        <v>199</v>
      </c>
      <c r="C438" t="s">
        <v>742</v>
      </c>
      <c r="D438" s="10">
        <v>-13566442.49</v>
      </c>
      <c r="F438">
        <v>628.73</v>
      </c>
      <c r="H438" s="10">
        <v>-1717521.08</v>
      </c>
      <c r="J438" s="10">
        <v>-15283334.84</v>
      </c>
      <c r="L438" s="1">
        <f t="shared" si="6"/>
        <v>-15283334.84</v>
      </c>
      <c r="N438" s="6" t="str">
        <f>IF(ISERROR(VLOOKUP($A438,'Plano de Contas'!#REF!,8,FALSE)),"",VLOOKUP($A438,'Plano de Contas'!#REF!,8,FALSE))</f>
        <v/>
      </c>
      <c r="P438" s="6" t="str">
        <f>IF(ISERROR(VLOOKUP($A438,'Plano de Contas'!#REF!,10,FALSE)),"",VLOOKUP($A438,'Plano de Contas'!#REF!,10,FALSE))</f>
        <v/>
      </c>
    </row>
    <row r="439" spans="1:16" x14ac:dyDescent="0.25">
      <c r="A439" t="s">
        <v>743</v>
      </c>
      <c r="B439">
        <v>200</v>
      </c>
      <c r="C439" t="s">
        <v>744</v>
      </c>
      <c r="D439" s="10">
        <v>-6900702.2699999996</v>
      </c>
      <c r="F439">
        <v>0</v>
      </c>
      <c r="H439" s="10">
        <v>-116391.8</v>
      </c>
      <c r="J439" s="10">
        <v>-7017094.0700000003</v>
      </c>
      <c r="L439" s="1">
        <f t="shared" si="6"/>
        <v>-7017094.0700000003</v>
      </c>
      <c r="N439" s="6" t="str">
        <f>IF(ISERROR(VLOOKUP($A439,'Plano de Contas'!#REF!,8,FALSE)),"",VLOOKUP($A439,'Plano de Contas'!#REF!,8,FALSE))</f>
        <v/>
      </c>
      <c r="P439" s="6" t="str">
        <f>IF(ISERROR(VLOOKUP($A439,'Plano de Contas'!#REF!,10,FALSE)),"",VLOOKUP($A439,'Plano de Contas'!#REF!,10,FALSE))</f>
        <v/>
      </c>
    </row>
    <row r="440" spans="1:16" x14ac:dyDescent="0.25">
      <c r="A440" t="s">
        <v>745</v>
      </c>
      <c r="B440">
        <v>201</v>
      </c>
      <c r="C440" t="s">
        <v>746</v>
      </c>
      <c r="D440" s="10">
        <v>-6708389.4500000002</v>
      </c>
      <c r="F440">
        <v>0</v>
      </c>
      <c r="H440" s="10">
        <v>-434993.34</v>
      </c>
      <c r="J440" s="10">
        <v>-7143382.79</v>
      </c>
      <c r="L440" s="1">
        <f t="shared" si="6"/>
        <v>-7143382.79</v>
      </c>
      <c r="N440" s="6" t="str">
        <f>IF(ISERROR(VLOOKUP($A440,'Plano de Contas'!#REF!,8,FALSE)),"",VLOOKUP($A440,'Plano de Contas'!#REF!,8,FALSE))</f>
        <v/>
      </c>
      <c r="P440" s="6" t="str">
        <f>IF(ISERROR(VLOOKUP($A440,'Plano de Contas'!#REF!,10,FALSE)),"",VLOOKUP($A440,'Plano de Contas'!#REF!,10,FALSE))</f>
        <v/>
      </c>
    </row>
    <row r="441" spans="1:16" x14ac:dyDescent="0.25">
      <c r="A441" t="s">
        <v>747</v>
      </c>
      <c r="B441">
        <v>202</v>
      </c>
      <c r="C441" t="s">
        <v>748</v>
      </c>
      <c r="D441" s="10">
        <v>43239272.149999999</v>
      </c>
      <c r="E441" t="s">
        <v>35</v>
      </c>
      <c r="F441">
        <v>0</v>
      </c>
      <c r="H441" s="10">
        <v>4980886.49</v>
      </c>
      <c r="I441" t="s">
        <v>35</v>
      </c>
      <c r="J441" s="10">
        <v>48220158.640000001</v>
      </c>
      <c r="K441" t="s">
        <v>35</v>
      </c>
      <c r="L441" s="1">
        <f t="shared" si="6"/>
        <v>-48220158.640000001</v>
      </c>
      <c r="N441" s="6" t="str">
        <f>IF(ISERROR(VLOOKUP($A441,'Plano de Contas'!#REF!,8,FALSE)),"",VLOOKUP($A441,'Plano de Contas'!#REF!,8,FALSE))</f>
        <v/>
      </c>
      <c r="P441" s="6" t="str">
        <f>IF(ISERROR(VLOOKUP($A441,'Plano de Contas'!#REF!,10,FALSE)),"",VLOOKUP($A441,'Plano de Contas'!#REF!,10,FALSE))</f>
        <v/>
      </c>
    </row>
    <row r="442" spans="1:16" x14ac:dyDescent="0.25">
      <c r="A442" t="s">
        <v>749</v>
      </c>
      <c r="B442">
        <v>628</v>
      </c>
      <c r="C442" t="s">
        <v>750</v>
      </c>
      <c r="D442" s="10">
        <v>304200</v>
      </c>
      <c r="E442" t="s">
        <v>35</v>
      </c>
      <c r="F442">
        <v>0</v>
      </c>
      <c r="H442">
        <v>0</v>
      </c>
      <c r="J442" s="10">
        <v>304200</v>
      </c>
      <c r="K442" t="s">
        <v>35</v>
      </c>
      <c r="L442" s="1">
        <f t="shared" si="6"/>
        <v>-304200</v>
      </c>
      <c r="N442" s="6" t="str">
        <f>IF(ISERROR(VLOOKUP($A442,'Plano de Contas'!#REF!,8,FALSE)),"",VLOOKUP($A442,'Plano de Contas'!#REF!,8,FALSE))</f>
        <v/>
      </c>
      <c r="P442" s="6" t="str">
        <f>IF(ISERROR(VLOOKUP($A442,'Plano de Contas'!#REF!,10,FALSE)),"",VLOOKUP($A442,'Plano de Contas'!#REF!,10,FALSE))</f>
        <v/>
      </c>
    </row>
    <row r="443" spans="1:16" x14ac:dyDescent="0.25">
      <c r="L443" s="1">
        <f t="shared" si="6"/>
        <v>0</v>
      </c>
      <c r="N443" s="6" t="str">
        <f>IF(ISERROR(VLOOKUP($A443,'Plano de Contas'!#REF!,8,FALSE)),"",VLOOKUP($A443,'Plano de Contas'!#REF!,8,FALSE))</f>
        <v/>
      </c>
      <c r="P443" s="6" t="str">
        <f>IF(ISERROR(VLOOKUP($A443,'Plano de Contas'!#REF!,10,FALSE)),"",VLOOKUP($A443,'Plano de Contas'!#REF!,10,FALSE))</f>
        <v/>
      </c>
    </row>
    <row r="444" spans="1:16" x14ac:dyDescent="0.25">
      <c r="A444" t="s">
        <v>751</v>
      </c>
      <c r="B444">
        <v>205</v>
      </c>
      <c r="C444" t="s">
        <v>752</v>
      </c>
      <c r="D444" s="10">
        <v>7609799.6799999997</v>
      </c>
      <c r="F444" s="10">
        <v>784049.7</v>
      </c>
      <c r="H444">
        <v>0</v>
      </c>
      <c r="J444" s="10">
        <v>8393849.3800000008</v>
      </c>
      <c r="L444" s="1">
        <f t="shared" si="6"/>
        <v>8393849.3800000008</v>
      </c>
      <c r="N444" s="6" t="str">
        <f>IF(ISERROR(VLOOKUP($A444,'Plano de Contas'!#REF!,8,FALSE)),"",VLOOKUP($A444,'Plano de Contas'!#REF!,8,FALSE))</f>
        <v/>
      </c>
      <c r="P444" s="6" t="str">
        <f>IF(ISERROR(VLOOKUP($A444,'Plano de Contas'!#REF!,10,FALSE)),"",VLOOKUP($A444,'Plano de Contas'!#REF!,10,FALSE))</f>
        <v/>
      </c>
    </row>
    <row r="445" spans="1:16" x14ac:dyDescent="0.25">
      <c r="A445" t="s">
        <v>753</v>
      </c>
      <c r="B445">
        <v>206</v>
      </c>
      <c r="C445" t="s">
        <v>754</v>
      </c>
      <c r="D445" s="10">
        <v>1166988.1499999999</v>
      </c>
      <c r="F445" s="10">
        <v>119621.57</v>
      </c>
      <c r="H445">
        <v>0</v>
      </c>
      <c r="J445" s="10">
        <v>1286609.72</v>
      </c>
      <c r="L445" s="1">
        <f t="shared" si="6"/>
        <v>1286609.72</v>
      </c>
      <c r="N445" s="6" t="str">
        <f>IF(ISERROR(VLOOKUP($A445,'Plano de Contas'!#REF!,8,FALSE)),"",VLOOKUP($A445,'Plano de Contas'!#REF!,8,FALSE))</f>
        <v/>
      </c>
      <c r="P445" s="6" t="str">
        <f>IF(ISERROR(VLOOKUP($A445,'Plano de Contas'!#REF!,10,FALSE)),"",VLOOKUP($A445,'Plano de Contas'!#REF!,10,FALSE))</f>
        <v/>
      </c>
    </row>
    <row r="446" spans="1:16" x14ac:dyDescent="0.25">
      <c r="A446" t="s">
        <v>755</v>
      </c>
      <c r="B446">
        <v>207</v>
      </c>
      <c r="C446" t="s">
        <v>554</v>
      </c>
      <c r="D446" s="10">
        <v>5375159.0300000003</v>
      </c>
      <c r="F446" s="10">
        <v>550983.34</v>
      </c>
      <c r="H446">
        <v>0</v>
      </c>
      <c r="J446" s="10">
        <v>5926142.3700000001</v>
      </c>
      <c r="L446" s="1">
        <f t="shared" si="6"/>
        <v>5926142.3700000001</v>
      </c>
      <c r="N446" s="6" t="str">
        <f>IF(ISERROR(VLOOKUP($A446,'Plano de Contas'!#REF!,8,FALSE)),"",VLOOKUP($A446,'Plano de Contas'!#REF!,8,FALSE))</f>
        <v/>
      </c>
      <c r="P446" s="6" t="str">
        <f>IF(ISERROR(VLOOKUP($A446,'Plano de Contas'!#REF!,10,FALSE)),"",VLOOKUP($A446,'Plano de Contas'!#REF!,10,FALSE))</f>
        <v/>
      </c>
    </row>
    <row r="447" spans="1:16" x14ac:dyDescent="0.25">
      <c r="A447" t="s">
        <v>756</v>
      </c>
      <c r="B447">
        <v>208</v>
      </c>
      <c r="C447" t="s">
        <v>757</v>
      </c>
      <c r="D447" s="10">
        <v>1015938.5</v>
      </c>
      <c r="F447" s="10">
        <v>113444.79</v>
      </c>
      <c r="H447">
        <v>0</v>
      </c>
      <c r="J447" s="10">
        <v>1129383.29</v>
      </c>
      <c r="L447" s="1">
        <f t="shared" si="6"/>
        <v>1129383.29</v>
      </c>
      <c r="N447" s="6" t="str">
        <f>IF(ISERROR(VLOOKUP($A447,'Plano de Contas'!#REF!,8,FALSE)),"",VLOOKUP($A447,'Plano de Contas'!#REF!,8,FALSE))</f>
        <v/>
      </c>
      <c r="P447" s="6" t="str">
        <f>IF(ISERROR(VLOOKUP($A447,'Plano de Contas'!#REF!,10,FALSE)),"",VLOOKUP($A447,'Plano de Contas'!#REF!,10,FALSE))</f>
        <v/>
      </c>
    </row>
    <row r="448" spans="1:16" x14ac:dyDescent="0.25">
      <c r="A448" t="s">
        <v>760</v>
      </c>
      <c r="B448">
        <v>486</v>
      </c>
      <c r="C448" t="s">
        <v>761</v>
      </c>
      <c r="D448" s="10">
        <v>51714</v>
      </c>
      <c r="F448">
        <v>0</v>
      </c>
      <c r="H448">
        <v>0</v>
      </c>
      <c r="J448" s="10">
        <v>51714</v>
      </c>
      <c r="L448" s="1">
        <f t="shared" si="6"/>
        <v>51714</v>
      </c>
      <c r="N448" s="6" t="str">
        <f>IF(ISERROR(VLOOKUP($A448,'Plano de Contas'!#REF!,8,FALSE)),"",VLOOKUP($A448,'Plano de Contas'!#REF!,8,FALSE))</f>
        <v/>
      </c>
      <c r="P448" s="6" t="str">
        <f>IF(ISERROR(VLOOKUP($A448,'Plano de Contas'!#REF!,10,FALSE)),"",VLOOKUP($A448,'Plano de Contas'!#REF!,10,FALSE))</f>
        <v/>
      </c>
    </row>
    <row r="449" spans="1:16" x14ac:dyDescent="0.25">
      <c r="L449" s="1">
        <f t="shared" si="6"/>
        <v>0</v>
      </c>
      <c r="N449" s="6" t="str">
        <f>IF(ISERROR(VLOOKUP($A449,'Plano de Contas'!#REF!,8,FALSE)),"",VLOOKUP($A449,'Plano de Contas'!#REF!,8,FALSE))</f>
        <v/>
      </c>
      <c r="P449" s="6" t="str">
        <f>IF(ISERROR(VLOOKUP($A449,'Plano de Contas'!#REF!,10,FALSE)),"",VLOOKUP($A449,'Plano de Contas'!#REF!,10,FALSE))</f>
        <v/>
      </c>
    </row>
    <row r="450" spans="1:16" x14ac:dyDescent="0.25">
      <c r="A450" t="s">
        <v>762</v>
      </c>
      <c r="B450">
        <v>209</v>
      </c>
      <c r="C450" t="s">
        <v>763</v>
      </c>
      <c r="D450" s="10">
        <v>67531623.090000004</v>
      </c>
      <c r="F450" s="10">
        <v>11279717.59</v>
      </c>
      <c r="H450" s="10">
        <v>2023928.66</v>
      </c>
      <c r="I450" t="s">
        <v>35</v>
      </c>
      <c r="J450" s="10">
        <v>76787412.019999996</v>
      </c>
      <c r="L450" s="1">
        <f t="shared" si="6"/>
        <v>76787412.019999996</v>
      </c>
      <c r="N450" s="6" t="str">
        <f>IF(ISERROR(VLOOKUP($A450,'Plano de Contas'!#REF!,8,FALSE)),"",VLOOKUP($A450,'Plano de Contas'!#REF!,8,FALSE))</f>
        <v/>
      </c>
      <c r="P450" s="6" t="str">
        <f>IF(ISERROR(VLOOKUP($A450,'Plano de Contas'!#REF!,10,FALSE)),"",VLOOKUP($A450,'Plano de Contas'!#REF!,10,FALSE))</f>
        <v/>
      </c>
    </row>
    <row r="451" spans="1:16" x14ac:dyDescent="0.25">
      <c r="L451" s="1">
        <f t="shared" si="6"/>
        <v>0</v>
      </c>
      <c r="N451" s="6" t="str">
        <f>IF(ISERROR(VLOOKUP($A451,'Plano de Contas'!#REF!,8,FALSE)),"",VLOOKUP($A451,'Plano de Contas'!#REF!,8,FALSE))</f>
        <v/>
      </c>
      <c r="P451" s="6" t="str">
        <f>IF(ISERROR(VLOOKUP($A451,'Plano de Contas'!#REF!,10,FALSE)),"",VLOOKUP($A451,'Plano de Contas'!#REF!,10,FALSE))</f>
        <v/>
      </c>
    </row>
    <row r="452" spans="1:16" x14ac:dyDescent="0.25">
      <c r="A452" t="s">
        <v>764</v>
      </c>
      <c r="B452">
        <v>210</v>
      </c>
      <c r="C452" t="s">
        <v>765</v>
      </c>
      <c r="D452" s="10">
        <v>1775629.31</v>
      </c>
      <c r="F452" s="10">
        <v>48589.67</v>
      </c>
      <c r="H452">
        <v>0</v>
      </c>
      <c r="J452" s="10">
        <v>1824218.98</v>
      </c>
      <c r="L452" s="1">
        <f>IF(K452="-",-J452,J452)</f>
        <v>1824218.98</v>
      </c>
      <c r="N452" s="6" t="str">
        <f>IF(ISERROR(VLOOKUP($A452,'Plano de Contas'!#REF!,8,FALSE)),"",VLOOKUP($A452,'Plano de Contas'!#REF!,8,FALSE))</f>
        <v/>
      </c>
      <c r="P452" s="6" t="str">
        <f>IF(ISERROR(VLOOKUP($A452,'Plano de Contas'!#REF!,10,FALSE)),"",VLOOKUP($A452,'Plano de Contas'!#REF!,10,FALSE))</f>
        <v/>
      </c>
    </row>
    <row r="453" spans="1:16" x14ac:dyDescent="0.25">
      <c r="A453" t="s">
        <v>766</v>
      </c>
      <c r="B453">
        <v>212</v>
      </c>
      <c r="C453" t="s">
        <v>767</v>
      </c>
      <c r="D453" s="10">
        <v>168937.16</v>
      </c>
      <c r="F453" s="10">
        <v>8168.54</v>
      </c>
      <c r="H453">
        <v>0</v>
      </c>
      <c r="J453" s="10">
        <v>177105.7</v>
      </c>
      <c r="L453" s="1">
        <f t="shared" si="6"/>
        <v>177105.7</v>
      </c>
      <c r="N453" s="6" t="str">
        <f>IF(ISERROR(VLOOKUP($A453,'Plano de Contas'!#REF!,8,FALSE)),"",VLOOKUP($A453,'Plano de Contas'!#REF!,8,FALSE))</f>
        <v/>
      </c>
      <c r="P453" s="6" t="str">
        <f>IF(ISERROR(VLOOKUP($A453,'Plano de Contas'!#REF!,10,FALSE)),"",VLOOKUP($A453,'Plano de Contas'!#REF!,10,FALSE))</f>
        <v/>
      </c>
    </row>
    <row r="454" spans="1:16" x14ac:dyDescent="0.25">
      <c r="A454" t="s">
        <v>1408</v>
      </c>
      <c r="B454">
        <v>215</v>
      </c>
      <c r="C454" t="s">
        <v>777</v>
      </c>
      <c r="D454" s="10">
        <v>148289.49</v>
      </c>
      <c r="F454" s="10">
        <v>12306.35</v>
      </c>
      <c r="H454">
        <v>0</v>
      </c>
      <c r="J454" s="10">
        <v>160595.84</v>
      </c>
      <c r="L454" s="1">
        <f t="shared" si="6"/>
        <v>160595.84</v>
      </c>
      <c r="N454" s="6" t="str">
        <f>IF(ISERROR(VLOOKUP($A454,'Plano de Contas'!#REF!,8,FALSE)),"",VLOOKUP($A454,'Plano de Contas'!#REF!,8,FALSE))</f>
        <v/>
      </c>
      <c r="P454" s="6" t="str">
        <f>IF(ISERROR(VLOOKUP($A454,'Plano de Contas'!#REF!,10,FALSE)),"",VLOOKUP($A454,'Plano de Contas'!#REF!,10,FALSE))</f>
        <v/>
      </c>
    </row>
    <row r="455" spans="1:16" x14ac:dyDescent="0.25">
      <c r="A455" t="s">
        <v>1410</v>
      </c>
      <c r="B455">
        <v>216</v>
      </c>
      <c r="C455" t="s">
        <v>249</v>
      </c>
      <c r="D455" s="10">
        <v>115253.47</v>
      </c>
      <c r="F455" s="10">
        <v>9146.43</v>
      </c>
      <c r="H455">
        <v>0</v>
      </c>
      <c r="J455" s="10">
        <v>124399.9</v>
      </c>
      <c r="L455" s="1">
        <f t="shared" si="6"/>
        <v>124399.9</v>
      </c>
      <c r="N455" s="6" t="str">
        <f>IF(ISERROR(VLOOKUP($A455,'Plano de Contas'!#REF!,8,FALSE)),"",VLOOKUP($A455,'Plano de Contas'!#REF!,8,FALSE))</f>
        <v/>
      </c>
      <c r="P455" s="6" t="str">
        <f>IF(ISERROR(VLOOKUP($A455,'Plano de Contas'!#REF!,10,FALSE)),"",VLOOKUP($A455,'Plano de Contas'!#REF!,10,FALSE))</f>
        <v/>
      </c>
    </row>
    <row r="456" spans="1:16" x14ac:dyDescent="0.25">
      <c r="A456" t="s">
        <v>768</v>
      </c>
      <c r="B456">
        <v>217</v>
      </c>
      <c r="C456" t="s">
        <v>769</v>
      </c>
      <c r="D456" s="10">
        <v>879387.27</v>
      </c>
      <c r="F456" s="10">
        <v>11202.45</v>
      </c>
      <c r="H456">
        <v>0</v>
      </c>
      <c r="J456" s="10">
        <v>890589.72</v>
      </c>
      <c r="L456" s="1">
        <f t="shared" ref="L456:L519" si="7">IF(K456="-",-J456,J456)</f>
        <v>890589.72</v>
      </c>
      <c r="N456" s="6" t="str">
        <f>IF(ISERROR(VLOOKUP($A456,'Plano de Contas'!#REF!,8,FALSE)),"",VLOOKUP($A456,'Plano de Contas'!#REF!,8,FALSE))</f>
        <v/>
      </c>
      <c r="P456" s="6" t="str">
        <f>IF(ISERROR(VLOOKUP($A456,'Plano de Contas'!#REF!,10,FALSE)),"",VLOOKUP($A456,'Plano de Contas'!#REF!,10,FALSE))</f>
        <v/>
      </c>
    </row>
    <row r="457" spans="1:16" x14ac:dyDescent="0.25">
      <c r="A457" t="s">
        <v>1423</v>
      </c>
      <c r="B457">
        <v>219</v>
      </c>
      <c r="C457" t="s">
        <v>540</v>
      </c>
      <c r="D457" s="10">
        <v>366378.21</v>
      </c>
      <c r="F457" s="10">
        <v>6049.68</v>
      </c>
      <c r="H457">
        <v>0</v>
      </c>
      <c r="J457" s="10">
        <v>372427.89</v>
      </c>
      <c r="L457" s="1">
        <f t="shared" si="7"/>
        <v>372427.89</v>
      </c>
      <c r="N457" s="6" t="str">
        <f>IF(ISERROR(VLOOKUP($A457,'Plano de Contas'!#REF!,8,FALSE)),"",VLOOKUP($A457,'Plano de Contas'!#REF!,8,FALSE))</f>
        <v/>
      </c>
      <c r="P457" s="6" t="str">
        <f>IF(ISERROR(VLOOKUP($A457,'Plano de Contas'!#REF!,10,FALSE)),"",VLOOKUP($A457,'Plano de Contas'!#REF!,10,FALSE))</f>
        <v/>
      </c>
    </row>
    <row r="458" spans="1:16" x14ac:dyDescent="0.25">
      <c r="A458" t="s">
        <v>1407</v>
      </c>
      <c r="B458">
        <v>220</v>
      </c>
      <c r="C458" t="s">
        <v>785</v>
      </c>
      <c r="D458" s="10">
        <v>97383.71</v>
      </c>
      <c r="F458" s="10">
        <v>1716.22</v>
      </c>
      <c r="H458">
        <v>0</v>
      </c>
      <c r="J458" s="10">
        <v>99099.93</v>
      </c>
      <c r="L458" s="1">
        <f t="shared" si="7"/>
        <v>99099.93</v>
      </c>
      <c r="N458" s="6" t="str">
        <f>IF(ISERROR(VLOOKUP($A458,'Plano de Contas'!#REF!,8,FALSE)),"",VLOOKUP($A458,'Plano de Contas'!#REF!,8,FALSE))</f>
        <v/>
      </c>
      <c r="P458" s="6" t="str">
        <f>IF(ISERROR(VLOOKUP($A458,'Plano de Contas'!#REF!,10,FALSE)),"",VLOOKUP($A458,'Plano de Contas'!#REF!,10,FALSE))</f>
        <v/>
      </c>
    </row>
    <row r="459" spans="1:16" x14ac:dyDescent="0.25">
      <c r="L459" s="1">
        <f t="shared" si="7"/>
        <v>0</v>
      </c>
      <c r="N459" s="6" t="str">
        <f>IF(ISERROR(VLOOKUP($A459,'Plano de Contas'!#REF!,8,FALSE)),"",VLOOKUP($A459,'Plano de Contas'!#REF!,8,FALSE))</f>
        <v/>
      </c>
      <c r="P459" s="6" t="str">
        <f>IF(ISERROR(VLOOKUP($A459,'Plano de Contas'!#REF!,10,FALSE)),"",VLOOKUP($A459,'Plano de Contas'!#REF!,10,FALSE))</f>
        <v/>
      </c>
    </row>
    <row r="460" spans="1:16" x14ac:dyDescent="0.25">
      <c r="A460" t="s">
        <v>770</v>
      </c>
      <c r="B460">
        <v>221</v>
      </c>
      <c r="C460" t="s">
        <v>771</v>
      </c>
      <c r="D460" s="10">
        <v>22084934.66</v>
      </c>
      <c r="F460" s="10">
        <v>2747955.63</v>
      </c>
      <c r="H460" s="10">
        <v>64137.74</v>
      </c>
      <c r="I460" t="s">
        <v>35</v>
      </c>
      <c r="J460" s="10">
        <v>24768752.550000001</v>
      </c>
      <c r="L460" s="1">
        <f t="shared" si="7"/>
        <v>24768752.550000001</v>
      </c>
      <c r="N460" s="6" t="str">
        <f>IF(ISERROR(VLOOKUP($A460,'Plano de Contas'!#REF!,8,FALSE)),"",VLOOKUP($A460,'Plano de Contas'!#REF!,8,FALSE))</f>
        <v/>
      </c>
      <c r="P460" s="6" t="str">
        <f>IF(ISERROR(VLOOKUP($A460,'Plano de Contas'!#REF!,10,FALSE)),"",VLOOKUP($A460,'Plano de Contas'!#REF!,10,FALSE))</f>
        <v/>
      </c>
    </row>
    <row r="461" spans="1:16" x14ac:dyDescent="0.25">
      <c r="A461" t="s">
        <v>772</v>
      </c>
      <c r="B461">
        <v>222</v>
      </c>
      <c r="C461" t="s">
        <v>773</v>
      </c>
      <c r="D461" s="10">
        <v>5385482.3200000003</v>
      </c>
      <c r="F461" s="10">
        <v>630520.81000000006</v>
      </c>
      <c r="H461">
        <v>0</v>
      </c>
      <c r="J461" s="10">
        <v>6016003.1299999999</v>
      </c>
      <c r="L461" s="1">
        <f t="shared" si="7"/>
        <v>6016003.1299999999</v>
      </c>
      <c r="N461" s="6" t="str">
        <f>IF(ISERROR(VLOOKUP($A461,'Plano de Contas'!#REF!,8,FALSE)),"",VLOOKUP($A461,'Plano de Contas'!#REF!,8,FALSE))</f>
        <v/>
      </c>
      <c r="P461" s="6" t="str">
        <f>IF(ISERROR(VLOOKUP($A461,'Plano de Contas'!#REF!,10,FALSE)),"",VLOOKUP($A461,'Plano de Contas'!#REF!,10,FALSE))</f>
        <v/>
      </c>
    </row>
    <row r="462" spans="1:16" x14ac:dyDescent="0.25">
      <c r="A462" t="s">
        <v>774</v>
      </c>
      <c r="B462">
        <v>223</v>
      </c>
      <c r="C462" t="s">
        <v>775</v>
      </c>
      <c r="D462" s="10">
        <v>356071.21</v>
      </c>
      <c r="F462">
        <v>0</v>
      </c>
      <c r="H462">
        <v>0</v>
      </c>
      <c r="J462" s="10">
        <v>356071.21</v>
      </c>
      <c r="L462" s="1">
        <f t="shared" si="7"/>
        <v>356071.21</v>
      </c>
      <c r="N462" s="6" t="str">
        <f>IF(ISERROR(VLOOKUP($A462,'Plano de Contas'!#REF!,8,FALSE)),"",VLOOKUP($A462,'Plano de Contas'!#REF!,8,FALSE))</f>
        <v/>
      </c>
      <c r="P462" s="6" t="str">
        <f>IF(ISERROR(VLOOKUP($A462,'Plano de Contas'!#REF!,10,FALSE)),"",VLOOKUP($A462,'Plano de Contas'!#REF!,10,FALSE))</f>
        <v/>
      </c>
    </row>
    <row r="463" spans="1:16" x14ac:dyDescent="0.25">
      <c r="A463" t="s">
        <v>776</v>
      </c>
      <c r="B463">
        <v>224</v>
      </c>
      <c r="C463" t="s">
        <v>777</v>
      </c>
      <c r="D463" s="10">
        <v>1212272.79</v>
      </c>
      <c r="F463" s="10">
        <v>123712.94</v>
      </c>
      <c r="H463">
        <v>0</v>
      </c>
      <c r="J463" s="10">
        <v>1335985.73</v>
      </c>
      <c r="L463" s="1">
        <f t="shared" si="7"/>
        <v>1335985.73</v>
      </c>
      <c r="N463" s="6" t="str">
        <f>IF(ISERROR(VLOOKUP($A463,'Plano de Contas'!#REF!,8,FALSE)),"",VLOOKUP($A463,'Plano de Contas'!#REF!,8,FALSE))</f>
        <v/>
      </c>
      <c r="P463" s="6" t="str">
        <f>IF(ISERROR(VLOOKUP($A463,'Plano de Contas'!#REF!,10,FALSE)),"",VLOOKUP($A463,'Plano de Contas'!#REF!,10,FALSE))</f>
        <v/>
      </c>
    </row>
    <row r="464" spans="1:16" x14ac:dyDescent="0.25">
      <c r="A464" t="s">
        <v>778</v>
      </c>
      <c r="B464">
        <v>225</v>
      </c>
      <c r="C464" t="s">
        <v>779</v>
      </c>
      <c r="D464" s="10">
        <v>1038393.32</v>
      </c>
      <c r="F464" s="10">
        <v>237124.63</v>
      </c>
      <c r="H464">
        <v>0</v>
      </c>
      <c r="J464" s="10">
        <v>1275517.95</v>
      </c>
      <c r="L464" s="1">
        <f t="shared" si="7"/>
        <v>1275517.95</v>
      </c>
      <c r="N464" s="6" t="str">
        <f>IF(ISERROR(VLOOKUP($A464,'Plano de Contas'!#REF!,8,FALSE)),"",VLOOKUP($A464,'Plano de Contas'!#REF!,8,FALSE))</f>
        <v/>
      </c>
      <c r="P464" s="6" t="str">
        <f>IF(ISERROR(VLOOKUP($A464,'Plano de Contas'!#REF!,10,FALSE)),"",VLOOKUP($A464,'Plano de Contas'!#REF!,10,FALSE))</f>
        <v/>
      </c>
    </row>
    <row r="465" spans="1:16" x14ac:dyDescent="0.25">
      <c r="A465" t="s">
        <v>780</v>
      </c>
      <c r="B465">
        <v>226</v>
      </c>
      <c r="C465" t="s">
        <v>769</v>
      </c>
      <c r="D465" s="10">
        <v>4811229.99</v>
      </c>
      <c r="F465" s="10">
        <v>531283.16</v>
      </c>
      <c r="H465">
        <v>0</v>
      </c>
      <c r="J465" s="10">
        <v>5342513.1500000004</v>
      </c>
      <c r="L465" s="1">
        <f t="shared" si="7"/>
        <v>5342513.1500000004</v>
      </c>
      <c r="N465" s="6" t="str">
        <f>IF(ISERROR(VLOOKUP($A465,'Plano de Contas'!#REF!,8,FALSE)),"",VLOOKUP($A465,'Plano de Contas'!#REF!,8,FALSE))</f>
        <v/>
      </c>
      <c r="P465" s="6" t="str">
        <f>IF(ISERROR(VLOOKUP($A465,'Plano de Contas'!#REF!,10,FALSE)),"",VLOOKUP($A465,'Plano de Contas'!#REF!,10,FALSE))</f>
        <v/>
      </c>
    </row>
    <row r="466" spans="1:16" x14ac:dyDescent="0.25">
      <c r="A466" t="s">
        <v>781</v>
      </c>
      <c r="B466">
        <v>227</v>
      </c>
      <c r="C466" t="s">
        <v>782</v>
      </c>
      <c r="D466" s="10">
        <v>209793.43</v>
      </c>
      <c r="F466">
        <v>0</v>
      </c>
      <c r="H466">
        <v>0</v>
      </c>
      <c r="J466" s="10">
        <v>209793.43</v>
      </c>
      <c r="L466" s="1">
        <f t="shared" si="7"/>
        <v>209793.43</v>
      </c>
      <c r="N466" s="6" t="str">
        <f>IF(ISERROR(VLOOKUP($A466,'Plano de Contas'!#REF!,8,FALSE)),"",VLOOKUP($A466,'Plano de Contas'!#REF!,8,FALSE))</f>
        <v/>
      </c>
      <c r="P466" s="6" t="str">
        <f>IF(ISERROR(VLOOKUP($A466,'Plano de Contas'!#REF!,10,FALSE)),"",VLOOKUP($A466,'Plano de Contas'!#REF!,10,FALSE))</f>
        <v/>
      </c>
    </row>
    <row r="467" spans="1:16" x14ac:dyDescent="0.25">
      <c r="A467" t="s">
        <v>783</v>
      </c>
      <c r="B467">
        <v>228</v>
      </c>
      <c r="C467" t="s">
        <v>540</v>
      </c>
      <c r="D467" s="10">
        <v>4050053.73</v>
      </c>
      <c r="F467" s="10">
        <v>498698.29</v>
      </c>
      <c r="H467">
        <v>0</v>
      </c>
      <c r="J467" s="10">
        <v>4548752.0199999996</v>
      </c>
      <c r="L467" s="1">
        <f t="shared" si="7"/>
        <v>4548752.0199999996</v>
      </c>
      <c r="N467" s="6" t="str">
        <f>IF(ISERROR(VLOOKUP($A467,'Plano de Contas'!#REF!,8,FALSE)),"",VLOOKUP($A467,'Plano de Contas'!#REF!,8,FALSE))</f>
        <v/>
      </c>
      <c r="P467" s="6" t="str">
        <f>IF(ISERROR(VLOOKUP($A467,'Plano de Contas'!#REF!,10,FALSE)),"",VLOOKUP($A467,'Plano de Contas'!#REF!,10,FALSE))</f>
        <v/>
      </c>
    </row>
    <row r="468" spans="1:16" x14ac:dyDescent="0.25">
      <c r="A468" t="s">
        <v>784</v>
      </c>
      <c r="B468">
        <v>229</v>
      </c>
      <c r="C468" t="s">
        <v>785</v>
      </c>
      <c r="D468" s="10">
        <v>1087463.27</v>
      </c>
      <c r="F468" s="10">
        <v>138271.39000000001</v>
      </c>
      <c r="H468">
        <v>0</v>
      </c>
      <c r="J468" s="10">
        <v>1225734.6599999999</v>
      </c>
      <c r="L468" s="1">
        <f t="shared" si="7"/>
        <v>1225734.6599999999</v>
      </c>
      <c r="N468" s="6" t="str">
        <f>IF(ISERROR(VLOOKUP($A468,'Plano de Contas'!#REF!,8,FALSE)),"",VLOOKUP($A468,'Plano de Contas'!#REF!,8,FALSE))</f>
        <v/>
      </c>
      <c r="P468" s="6" t="str">
        <f>IF(ISERROR(VLOOKUP($A468,'Plano de Contas'!#REF!,10,FALSE)),"",VLOOKUP($A468,'Plano de Contas'!#REF!,10,FALSE))</f>
        <v/>
      </c>
    </row>
    <row r="469" spans="1:16" x14ac:dyDescent="0.25">
      <c r="A469" t="s">
        <v>786</v>
      </c>
      <c r="B469">
        <v>230</v>
      </c>
      <c r="C469" t="s">
        <v>787</v>
      </c>
      <c r="D469" s="10">
        <v>65631.7</v>
      </c>
      <c r="F469" s="10">
        <v>2488.5</v>
      </c>
      <c r="H469">
        <v>0</v>
      </c>
      <c r="J469" s="10">
        <v>68120.2</v>
      </c>
      <c r="L469" s="1">
        <f t="shared" si="7"/>
        <v>68120.2</v>
      </c>
      <c r="N469" s="6" t="str">
        <f>IF(ISERROR(VLOOKUP($A469,'Plano de Contas'!#REF!,8,FALSE)),"",VLOOKUP($A469,'Plano de Contas'!#REF!,8,FALSE))</f>
        <v/>
      </c>
      <c r="P469" s="6" t="str">
        <f>IF(ISERROR(VLOOKUP($A469,'Plano de Contas'!#REF!,10,FALSE)),"",VLOOKUP($A469,'Plano de Contas'!#REF!,10,FALSE))</f>
        <v/>
      </c>
    </row>
    <row r="470" spans="1:16" x14ac:dyDescent="0.25">
      <c r="A470" t="s">
        <v>788</v>
      </c>
      <c r="B470">
        <v>231</v>
      </c>
      <c r="C470" t="s">
        <v>789</v>
      </c>
      <c r="D470" s="10">
        <v>471279.22</v>
      </c>
      <c r="F470" s="10">
        <v>85991.89</v>
      </c>
      <c r="H470" s="10">
        <v>-44343.68</v>
      </c>
      <c r="J470" s="10">
        <v>512927.43</v>
      </c>
      <c r="L470" s="1">
        <f t="shared" si="7"/>
        <v>512927.43</v>
      </c>
      <c r="N470" s="6" t="str">
        <f>IF(ISERROR(VLOOKUP($A470,'Plano de Contas'!#REF!,8,FALSE)),"",VLOOKUP($A470,'Plano de Contas'!#REF!,8,FALSE))</f>
        <v/>
      </c>
      <c r="P470" s="6" t="str">
        <f>IF(ISERROR(VLOOKUP($A470,'Plano de Contas'!#REF!,10,FALSE)),"",VLOOKUP($A470,'Plano de Contas'!#REF!,10,FALSE))</f>
        <v/>
      </c>
    </row>
    <row r="471" spans="1:16" x14ac:dyDescent="0.25">
      <c r="A471" t="s">
        <v>790</v>
      </c>
      <c r="B471">
        <v>232</v>
      </c>
      <c r="C471" t="s">
        <v>791</v>
      </c>
      <c r="D471" s="10">
        <v>71383.5</v>
      </c>
      <c r="F471" s="10">
        <v>11345.65</v>
      </c>
      <c r="H471" s="10">
        <v>1733.65</v>
      </c>
      <c r="I471" t="s">
        <v>35</v>
      </c>
      <c r="J471" s="10">
        <v>80995.5</v>
      </c>
      <c r="L471" s="1">
        <f t="shared" si="7"/>
        <v>80995.5</v>
      </c>
      <c r="N471" s="6" t="str">
        <f>IF(ISERROR(VLOOKUP($A471,'Plano de Contas'!#REF!,8,FALSE)),"",VLOOKUP($A471,'Plano de Contas'!#REF!,8,FALSE))</f>
        <v/>
      </c>
      <c r="P471" s="6" t="str">
        <f>IF(ISERROR(VLOOKUP($A471,'Plano de Contas'!#REF!,10,FALSE)),"",VLOOKUP($A471,'Plano de Contas'!#REF!,10,FALSE))</f>
        <v/>
      </c>
    </row>
    <row r="472" spans="1:16" x14ac:dyDescent="0.25">
      <c r="A472" t="s">
        <v>792</v>
      </c>
      <c r="B472">
        <v>233</v>
      </c>
      <c r="C472" t="s">
        <v>793</v>
      </c>
      <c r="D472" s="10">
        <v>1168564.6499999999</v>
      </c>
      <c r="F472" s="10">
        <v>262746.68</v>
      </c>
      <c r="H472" s="10">
        <v>4980.2700000000004</v>
      </c>
      <c r="I472" t="s">
        <v>35</v>
      </c>
      <c r="J472" s="10">
        <v>1426331.06</v>
      </c>
      <c r="L472" s="1">
        <f t="shared" si="7"/>
        <v>1426331.06</v>
      </c>
      <c r="N472" s="6" t="str">
        <f>IF(ISERROR(VLOOKUP($A472,'Plano de Contas'!#REF!,8,FALSE)),"",VLOOKUP($A472,'Plano de Contas'!#REF!,8,FALSE))</f>
        <v/>
      </c>
      <c r="P472" s="6" t="str">
        <f>IF(ISERROR(VLOOKUP($A472,'Plano de Contas'!#REF!,10,FALSE)),"",VLOOKUP($A472,'Plano de Contas'!#REF!,10,FALSE))</f>
        <v/>
      </c>
    </row>
    <row r="473" spans="1:16" x14ac:dyDescent="0.25">
      <c r="A473" t="s">
        <v>794</v>
      </c>
      <c r="B473">
        <v>235</v>
      </c>
      <c r="C473" t="s">
        <v>795</v>
      </c>
      <c r="D473" s="10">
        <v>-68225.91</v>
      </c>
      <c r="F473" s="10">
        <v>4523.57</v>
      </c>
      <c r="H473" s="10">
        <v>-13080.14</v>
      </c>
      <c r="J473" s="10">
        <v>-76782.48</v>
      </c>
      <c r="L473" s="1">
        <f t="shared" si="7"/>
        <v>-76782.48</v>
      </c>
      <c r="N473" s="6" t="str">
        <f>IF(ISERROR(VLOOKUP($A473,'Plano de Contas'!#REF!,8,FALSE)),"",VLOOKUP($A473,'Plano de Contas'!#REF!,8,FALSE))</f>
        <v/>
      </c>
      <c r="P473" s="6" t="str">
        <f>IF(ISERROR(VLOOKUP($A473,'Plano de Contas'!#REF!,10,FALSE)),"",VLOOKUP($A473,'Plano de Contas'!#REF!,10,FALSE))</f>
        <v/>
      </c>
    </row>
    <row r="474" spans="1:16" x14ac:dyDescent="0.25">
      <c r="A474" t="s">
        <v>1415</v>
      </c>
      <c r="B474">
        <v>236</v>
      </c>
      <c r="C474" t="s">
        <v>1416</v>
      </c>
      <c r="D474">
        <v>0</v>
      </c>
      <c r="F474" s="10">
        <v>8814.1</v>
      </c>
      <c r="H474">
        <v>0</v>
      </c>
      <c r="J474" s="10">
        <v>8814.1</v>
      </c>
      <c r="L474" s="1">
        <f t="shared" si="7"/>
        <v>8814.1</v>
      </c>
      <c r="N474" s="6" t="str">
        <f>IF(ISERROR(VLOOKUP($A474,'Plano de Contas'!#REF!,8,FALSE)),"",VLOOKUP($A474,'Plano de Contas'!#REF!,8,FALSE))</f>
        <v/>
      </c>
      <c r="P474" s="6" t="str">
        <f>IF(ISERROR(VLOOKUP($A474,'Plano de Contas'!#REF!,10,FALSE)),"",VLOOKUP($A474,'Plano de Contas'!#REF!,10,FALSE))</f>
        <v/>
      </c>
    </row>
    <row r="475" spans="1:16" x14ac:dyDescent="0.25">
      <c r="A475" t="s">
        <v>1417</v>
      </c>
      <c r="B475">
        <v>538</v>
      </c>
      <c r="C475" t="s">
        <v>1418</v>
      </c>
      <c r="D475">
        <v>635.85</v>
      </c>
      <c r="F475">
        <v>0</v>
      </c>
      <c r="H475">
        <v>0</v>
      </c>
      <c r="J475">
        <v>635.85</v>
      </c>
      <c r="L475" s="1">
        <f t="shared" si="7"/>
        <v>635.85</v>
      </c>
      <c r="N475" s="6" t="str">
        <f>IF(ISERROR(VLOOKUP($A475,'Plano de Contas'!#REF!,8,FALSE)),"",VLOOKUP($A475,'Plano de Contas'!#REF!,8,FALSE))</f>
        <v/>
      </c>
      <c r="P475" s="6" t="str">
        <f>IF(ISERROR(VLOOKUP($A475,'Plano de Contas'!#REF!,10,FALSE)),"",VLOOKUP($A475,'Plano de Contas'!#REF!,10,FALSE))</f>
        <v/>
      </c>
    </row>
    <row r="476" spans="1:16" x14ac:dyDescent="0.25">
      <c r="A476" t="s">
        <v>796</v>
      </c>
      <c r="B476">
        <v>702</v>
      </c>
      <c r="C476" t="s">
        <v>797</v>
      </c>
      <c r="D476" s="10">
        <v>156603.70000000001</v>
      </c>
      <c r="F476" s="10">
        <v>12953.03</v>
      </c>
      <c r="H476">
        <v>0</v>
      </c>
      <c r="J476" s="10">
        <v>169556.73</v>
      </c>
      <c r="L476" s="1">
        <f t="shared" si="7"/>
        <v>169556.73</v>
      </c>
      <c r="N476" s="6" t="str">
        <f>IF(ISERROR(VLOOKUP($A476,'Plano de Contas'!#REF!,8,FALSE)),"",VLOOKUP($A476,'Plano de Contas'!#REF!,8,FALSE))</f>
        <v/>
      </c>
      <c r="P476" s="6" t="str">
        <f>IF(ISERROR(VLOOKUP($A476,'Plano de Contas'!#REF!,10,FALSE)),"",VLOOKUP($A476,'Plano de Contas'!#REF!,10,FALSE))</f>
        <v/>
      </c>
    </row>
    <row r="477" spans="1:16" x14ac:dyDescent="0.25">
      <c r="A477" t="s">
        <v>798</v>
      </c>
      <c r="B477">
        <v>703</v>
      </c>
      <c r="C477" t="s">
        <v>799</v>
      </c>
      <c r="D477" s="10">
        <v>123413.45</v>
      </c>
      <c r="F477" s="10">
        <v>11488.28</v>
      </c>
      <c r="H477">
        <v>0</v>
      </c>
      <c r="J477" s="10">
        <v>134901.73000000001</v>
      </c>
      <c r="L477" s="1">
        <f t="shared" si="7"/>
        <v>134901.73000000001</v>
      </c>
      <c r="N477" s="6" t="str">
        <f>IF(ISERROR(VLOOKUP($A477,'Plano de Contas'!#REF!,8,FALSE)),"",VLOOKUP($A477,'Plano de Contas'!#REF!,8,FALSE))</f>
        <v/>
      </c>
      <c r="P477" s="6" t="str">
        <f>IF(ISERROR(VLOOKUP($A477,'Plano de Contas'!#REF!,10,FALSE)),"",VLOOKUP($A477,'Plano de Contas'!#REF!,10,FALSE))</f>
        <v/>
      </c>
    </row>
    <row r="478" spans="1:16" x14ac:dyDescent="0.25">
      <c r="A478" t="s">
        <v>800</v>
      </c>
      <c r="B478">
        <v>704</v>
      </c>
      <c r="C478" t="s">
        <v>801</v>
      </c>
      <c r="D478" s="10">
        <v>7775</v>
      </c>
      <c r="F478">
        <v>746.4</v>
      </c>
      <c r="H478">
        <v>0</v>
      </c>
      <c r="J478" s="10">
        <v>8521.4</v>
      </c>
      <c r="L478" s="1">
        <f t="shared" si="7"/>
        <v>8521.4</v>
      </c>
      <c r="N478" s="6" t="str">
        <f>IF(ISERROR(VLOOKUP($A478,'Plano de Contas'!#REF!,8,FALSE)),"",VLOOKUP($A478,'Plano de Contas'!#REF!,8,FALSE))</f>
        <v/>
      </c>
      <c r="P478" s="6" t="str">
        <f>IF(ISERROR(VLOOKUP($A478,'Plano de Contas'!#REF!,10,FALSE)),"",VLOOKUP($A478,'Plano de Contas'!#REF!,10,FALSE))</f>
        <v/>
      </c>
    </row>
    <row r="479" spans="1:16" x14ac:dyDescent="0.25">
      <c r="A479" t="s">
        <v>802</v>
      </c>
      <c r="B479">
        <v>705</v>
      </c>
      <c r="C479" t="s">
        <v>803</v>
      </c>
      <c r="D479" s="10">
        <v>407548.51</v>
      </c>
      <c r="F479" s="10">
        <v>38339.03</v>
      </c>
      <c r="H479">
        <v>0</v>
      </c>
      <c r="J479" s="10">
        <v>445887.54</v>
      </c>
      <c r="L479" s="1">
        <f t="shared" si="7"/>
        <v>445887.54</v>
      </c>
      <c r="N479" s="6" t="str">
        <f>IF(ISERROR(VLOOKUP($A479,'Plano de Contas'!#REF!,8,FALSE)),"",VLOOKUP($A479,'Plano de Contas'!#REF!,8,FALSE))</f>
        <v/>
      </c>
      <c r="P479" s="6" t="str">
        <f>IF(ISERROR(VLOOKUP($A479,'Plano de Contas'!#REF!,10,FALSE)),"",VLOOKUP($A479,'Plano de Contas'!#REF!,10,FALSE))</f>
        <v/>
      </c>
    </row>
    <row r="480" spans="1:16" x14ac:dyDescent="0.25">
      <c r="A480" t="s">
        <v>804</v>
      </c>
      <c r="B480">
        <v>706</v>
      </c>
      <c r="C480" t="s">
        <v>805</v>
      </c>
      <c r="D480" s="10">
        <v>30785.83</v>
      </c>
      <c r="F480" s="10">
        <v>3193.44</v>
      </c>
      <c r="H480">
        <v>0</v>
      </c>
      <c r="J480" s="10">
        <v>33979.269999999997</v>
      </c>
      <c r="L480" s="1">
        <f t="shared" si="7"/>
        <v>33979.269999999997</v>
      </c>
      <c r="N480" s="6" t="str">
        <f>IF(ISERROR(VLOOKUP($A480,'Plano de Contas'!#REF!,8,FALSE)),"",VLOOKUP($A480,'Plano de Contas'!#REF!,8,FALSE))</f>
        <v/>
      </c>
      <c r="P480" s="6" t="str">
        <f>IF(ISERROR(VLOOKUP($A480,'Plano de Contas'!#REF!,10,FALSE)),"",VLOOKUP($A480,'Plano de Contas'!#REF!,10,FALSE))</f>
        <v/>
      </c>
    </row>
    <row r="481" spans="1:16" x14ac:dyDescent="0.25">
      <c r="A481" t="s">
        <v>808</v>
      </c>
      <c r="B481">
        <v>708</v>
      </c>
      <c r="C481" t="s">
        <v>809</v>
      </c>
      <c r="D481" s="10">
        <v>327179.05</v>
      </c>
      <c r="F481" s="10">
        <v>31073.49</v>
      </c>
      <c r="H481">
        <v>0</v>
      </c>
      <c r="J481" s="10">
        <v>358252.54</v>
      </c>
      <c r="L481" s="1">
        <f t="shared" si="7"/>
        <v>358252.54</v>
      </c>
      <c r="N481" s="6" t="str">
        <f>IF(ISERROR(VLOOKUP($A481,'Plano de Contas'!#REF!,8,FALSE)),"",VLOOKUP($A481,'Plano de Contas'!#REF!,8,FALSE))</f>
        <v/>
      </c>
      <c r="P481" s="6" t="str">
        <f>IF(ISERROR(VLOOKUP($A481,'Plano de Contas'!#REF!,10,FALSE)),"",VLOOKUP($A481,'Plano de Contas'!#REF!,10,FALSE))</f>
        <v/>
      </c>
    </row>
    <row r="482" spans="1:16" x14ac:dyDescent="0.25">
      <c r="A482" t="s">
        <v>810</v>
      </c>
      <c r="B482">
        <v>709</v>
      </c>
      <c r="C482" t="s">
        <v>811</v>
      </c>
      <c r="D482" s="10">
        <v>54638.89</v>
      </c>
      <c r="F482" s="10">
        <v>6610.66</v>
      </c>
      <c r="H482">
        <v>0</v>
      </c>
      <c r="J482" s="10">
        <v>61249.55</v>
      </c>
      <c r="L482" s="1">
        <f t="shared" si="7"/>
        <v>61249.55</v>
      </c>
      <c r="N482" s="6" t="str">
        <f>IF(ISERROR(VLOOKUP($A482,'Plano de Contas'!#REF!,8,FALSE)),"",VLOOKUP($A482,'Plano de Contas'!#REF!,8,FALSE))</f>
        <v/>
      </c>
      <c r="P482" s="6" t="str">
        <f>IF(ISERROR(VLOOKUP($A482,'Plano de Contas'!#REF!,10,FALSE)),"",VLOOKUP($A482,'Plano de Contas'!#REF!,10,FALSE))</f>
        <v/>
      </c>
    </row>
    <row r="483" spans="1:16" x14ac:dyDescent="0.25">
      <c r="A483" t="s">
        <v>812</v>
      </c>
      <c r="B483">
        <v>710</v>
      </c>
      <c r="C483" t="s">
        <v>813</v>
      </c>
      <c r="D483" s="10">
        <v>987806.81</v>
      </c>
      <c r="F483" s="10">
        <v>98046.64</v>
      </c>
      <c r="H483">
        <v>0</v>
      </c>
      <c r="J483" s="10">
        <v>1085853.45</v>
      </c>
      <c r="L483" s="1">
        <f t="shared" si="7"/>
        <v>1085853.45</v>
      </c>
      <c r="N483" s="6" t="str">
        <f>IF(ISERROR(VLOOKUP($A483,'Plano de Contas'!#REF!,8,FALSE)),"",VLOOKUP($A483,'Plano de Contas'!#REF!,8,FALSE))</f>
        <v/>
      </c>
      <c r="P483" s="6" t="str">
        <f>IF(ISERROR(VLOOKUP($A483,'Plano de Contas'!#REF!,10,FALSE)),"",VLOOKUP($A483,'Plano de Contas'!#REF!,10,FALSE))</f>
        <v/>
      </c>
    </row>
    <row r="484" spans="1:16" x14ac:dyDescent="0.25">
      <c r="A484" t="s">
        <v>814</v>
      </c>
      <c r="B484">
        <v>711</v>
      </c>
      <c r="C484" t="s">
        <v>815</v>
      </c>
      <c r="D484" s="10">
        <v>47410.18</v>
      </c>
      <c r="F484" s="10">
        <v>4051.3</v>
      </c>
      <c r="H484">
        <v>0</v>
      </c>
      <c r="J484" s="10">
        <v>51461.48</v>
      </c>
      <c r="L484" s="1">
        <f t="shared" si="7"/>
        <v>51461.48</v>
      </c>
      <c r="N484" s="6" t="str">
        <f>IF(ISERROR(VLOOKUP($A484,'Plano de Contas'!#REF!,8,FALSE)),"",VLOOKUP($A484,'Plano de Contas'!#REF!,8,FALSE))</f>
        <v/>
      </c>
      <c r="P484" s="6" t="str">
        <f>IF(ISERROR(VLOOKUP($A484,'Plano de Contas'!#REF!,10,FALSE)),"",VLOOKUP($A484,'Plano de Contas'!#REF!,10,FALSE))</f>
        <v/>
      </c>
    </row>
    <row r="485" spans="1:16" x14ac:dyDescent="0.25">
      <c r="A485" t="s">
        <v>816</v>
      </c>
      <c r="B485">
        <v>712</v>
      </c>
      <c r="C485" t="s">
        <v>817</v>
      </c>
      <c r="D485" s="10">
        <v>43162.84</v>
      </c>
      <c r="F485" s="10">
        <v>3320.61</v>
      </c>
      <c r="H485">
        <v>0</v>
      </c>
      <c r="J485" s="10">
        <v>46483.45</v>
      </c>
      <c r="L485" s="1">
        <f t="shared" si="7"/>
        <v>46483.45</v>
      </c>
      <c r="N485" s="6" t="str">
        <f>IF(ISERROR(VLOOKUP($A485,'Plano de Contas'!#REF!,8,FALSE)),"",VLOOKUP($A485,'Plano de Contas'!#REF!,8,FALSE))</f>
        <v/>
      </c>
      <c r="P485" s="6" t="str">
        <f>IF(ISERROR(VLOOKUP($A485,'Plano de Contas'!#REF!,10,FALSE)),"",VLOOKUP($A485,'Plano de Contas'!#REF!,10,FALSE))</f>
        <v/>
      </c>
    </row>
    <row r="486" spans="1:16" x14ac:dyDescent="0.25">
      <c r="A486" t="s">
        <v>818</v>
      </c>
      <c r="B486">
        <v>713</v>
      </c>
      <c r="C486" t="s">
        <v>819</v>
      </c>
      <c r="D486" s="10">
        <v>7662.27</v>
      </c>
      <c r="F486">
        <v>0</v>
      </c>
      <c r="H486">
        <v>0</v>
      </c>
      <c r="J486" s="10">
        <v>7662.27</v>
      </c>
      <c r="L486" s="1">
        <f t="shared" si="7"/>
        <v>7662.27</v>
      </c>
      <c r="N486" s="6" t="str">
        <f>IF(ISERROR(VLOOKUP($A486,'Plano de Contas'!#REF!,8,FALSE)),"",VLOOKUP($A486,'Plano de Contas'!#REF!,8,FALSE))</f>
        <v/>
      </c>
      <c r="P486" s="6" t="str">
        <f>IF(ISERROR(VLOOKUP($A486,'Plano de Contas'!#REF!,10,FALSE)),"",VLOOKUP($A486,'Plano de Contas'!#REF!,10,FALSE))</f>
        <v/>
      </c>
    </row>
    <row r="487" spans="1:16" x14ac:dyDescent="0.25">
      <c r="A487" t="s">
        <v>820</v>
      </c>
      <c r="B487">
        <v>829</v>
      </c>
      <c r="C487" t="s">
        <v>821</v>
      </c>
      <c r="D487" s="10">
        <v>30919.06</v>
      </c>
      <c r="F487" s="10">
        <v>2611.14</v>
      </c>
      <c r="H487">
        <v>0</v>
      </c>
      <c r="J487" s="10">
        <v>33530.199999999997</v>
      </c>
      <c r="L487" s="1">
        <f t="shared" si="7"/>
        <v>33530.199999999997</v>
      </c>
      <c r="N487" s="6" t="str">
        <f>IF(ISERROR(VLOOKUP($A487,'Plano de Contas'!#REF!,8,FALSE)),"",VLOOKUP($A487,'Plano de Contas'!#REF!,8,FALSE))</f>
        <v/>
      </c>
      <c r="P487" s="6" t="str">
        <f>IF(ISERROR(VLOOKUP($A487,'Plano de Contas'!#REF!,10,FALSE)),"",VLOOKUP($A487,'Plano de Contas'!#REF!,10,FALSE))</f>
        <v/>
      </c>
    </row>
    <row r="488" spans="1:16" x14ac:dyDescent="0.25">
      <c r="L488" s="1">
        <f t="shared" si="7"/>
        <v>0</v>
      </c>
      <c r="N488" s="6" t="str">
        <f>IF(ISERROR(VLOOKUP($A488,'Plano de Contas'!#REF!,8,FALSE)),"",VLOOKUP($A488,'Plano de Contas'!#REF!,8,FALSE))</f>
        <v/>
      </c>
      <c r="P488" s="6" t="str">
        <f>IF(ISERROR(VLOOKUP($A488,'Plano de Contas'!#REF!,10,FALSE)),"",VLOOKUP($A488,'Plano de Contas'!#REF!,10,FALSE))</f>
        <v/>
      </c>
    </row>
    <row r="489" spans="1:16" x14ac:dyDescent="0.25">
      <c r="A489" t="s">
        <v>826</v>
      </c>
      <c r="B489">
        <v>237</v>
      </c>
      <c r="C489" t="s">
        <v>827</v>
      </c>
      <c r="D489" s="10">
        <v>57152896.560000002</v>
      </c>
      <c r="F489" s="10">
        <v>8338846.5700000003</v>
      </c>
      <c r="H489" s="10">
        <v>21708.880000000001</v>
      </c>
      <c r="I489" t="s">
        <v>35</v>
      </c>
      <c r="J489" s="10">
        <v>65470034.25</v>
      </c>
      <c r="L489" s="1">
        <f t="shared" si="7"/>
        <v>65470034.25</v>
      </c>
      <c r="N489" s="6" t="str">
        <f>IF(ISERROR(VLOOKUP($A489,'Plano de Contas'!#REF!,8,FALSE)),"",VLOOKUP($A489,'Plano de Contas'!#REF!,8,FALSE))</f>
        <v/>
      </c>
      <c r="P489" s="6" t="str">
        <f>IF(ISERROR(VLOOKUP($A489,'Plano de Contas'!#REF!,10,FALSE)),"",VLOOKUP($A489,'Plano de Contas'!#REF!,10,FALSE))</f>
        <v/>
      </c>
    </row>
    <row r="490" spans="1:16" x14ac:dyDescent="0.25">
      <c r="A490" t="s">
        <v>828</v>
      </c>
      <c r="B490">
        <v>238</v>
      </c>
      <c r="C490" t="s">
        <v>829</v>
      </c>
      <c r="D490" s="10">
        <v>2065692.2</v>
      </c>
      <c r="F490" s="10">
        <v>86940.89</v>
      </c>
      <c r="H490">
        <v>0</v>
      </c>
      <c r="J490" s="10">
        <v>2152633.09</v>
      </c>
      <c r="L490" s="1">
        <f t="shared" si="7"/>
        <v>2152633.09</v>
      </c>
      <c r="N490" s="6" t="str">
        <f>IF(ISERROR(VLOOKUP($A490,'Plano de Contas'!#REF!,8,FALSE)),"",VLOOKUP($A490,'Plano de Contas'!#REF!,8,FALSE))</f>
        <v/>
      </c>
      <c r="P490" s="6" t="str">
        <f>IF(ISERROR(VLOOKUP($A490,'Plano de Contas'!#REF!,10,FALSE)),"",VLOOKUP($A490,'Plano de Contas'!#REF!,10,FALSE))</f>
        <v/>
      </c>
    </row>
    <row r="491" spans="1:16" x14ac:dyDescent="0.25">
      <c r="A491" t="s">
        <v>830</v>
      </c>
      <c r="B491">
        <v>239</v>
      </c>
      <c r="C491" t="s">
        <v>831</v>
      </c>
      <c r="D491" s="10">
        <v>1081254.55</v>
      </c>
      <c r="F491" s="10">
        <v>92159.47</v>
      </c>
      <c r="H491">
        <v>0</v>
      </c>
      <c r="J491" s="10">
        <v>1173414.02</v>
      </c>
      <c r="L491" s="1">
        <f t="shared" si="7"/>
        <v>1173414.02</v>
      </c>
      <c r="N491" s="6" t="str">
        <f>IF(ISERROR(VLOOKUP($A491,'Plano de Contas'!#REF!,8,FALSE)),"",VLOOKUP($A491,'Plano de Contas'!#REF!,8,FALSE))</f>
        <v/>
      </c>
      <c r="P491" s="6" t="str">
        <f>IF(ISERROR(VLOOKUP($A491,'Plano de Contas'!#REF!,10,FALSE)),"",VLOOKUP($A491,'Plano de Contas'!#REF!,10,FALSE))</f>
        <v/>
      </c>
    </row>
    <row r="492" spans="1:16" x14ac:dyDescent="0.25">
      <c r="A492" t="s">
        <v>832</v>
      </c>
      <c r="B492">
        <v>240</v>
      </c>
      <c r="C492" t="s">
        <v>833</v>
      </c>
      <c r="D492" s="10">
        <v>371628.79</v>
      </c>
      <c r="F492" s="10">
        <v>37114.29</v>
      </c>
      <c r="H492">
        <v>36.68</v>
      </c>
      <c r="I492" t="s">
        <v>35</v>
      </c>
      <c r="J492" s="10">
        <v>408706.4</v>
      </c>
      <c r="L492" s="1">
        <f t="shared" si="7"/>
        <v>408706.4</v>
      </c>
      <c r="N492" s="6" t="str">
        <f>IF(ISERROR(VLOOKUP($A492,'Plano de Contas'!#REF!,8,FALSE)),"",VLOOKUP($A492,'Plano de Contas'!#REF!,8,FALSE))</f>
        <v/>
      </c>
      <c r="P492" s="6" t="str">
        <f>IF(ISERROR(VLOOKUP($A492,'Plano de Contas'!#REF!,10,FALSE)),"",VLOOKUP($A492,'Plano de Contas'!#REF!,10,FALSE))</f>
        <v/>
      </c>
    </row>
    <row r="493" spans="1:16" x14ac:dyDescent="0.25">
      <c r="A493" t="s">
        <v>834</v>
      </c>
      <c r="B493">
        <v>242</v>
      </c>
      <c r="C493" t="s">
        <v>835</v>
      </c>
      <c r="D493" s="10">
        <v>264854.09999999998</v>
      </c>
      <c r="F493" s="10">
        <v>12583.53</v>
      </c>
      <c r="H493">
        <v>0</v>
      </c>
      <c r="J493" s="10">
        <v>277437.63</v>
      </c>
      <c r="L493" s="1">
        <f t="shared" si="7"/>
        <v>277437.63</v>
      </c>
      <c r="N493" s="6" t="str">
        <f>IF(ISERROR(VLOOKUP($A493,'Plano de Contas'!#REF!,8,FALSE)),"",VLOOKUP($A493,'Plano de Contas'!#REF!,8,FALSE))</f>
        <v/>
      </c>
      <c r="P493" s="6" t="str">
        <f>IF(ISERROR(VLOOKUP($A493,'Plano de Contas'!#REF!,10,FALSE)),"",VLOOKUP($A493,'Plano de Contas'!#REF!,10,FALSE))</f>
        <v/>
      </c>
    </row>
    <row r="494" spans="1:16" x14ac:dyDescent="0.25">
      <c r="A494" t="s">
        <v>836</v>
      </c>
      <c r="B494">
        <v>243</v>
      </c>
      <c r="C494" t="s">
        <v>837</v>
      </c>
      <c r="D494" s="10">
        <v>2545373.4500000002</v>
      </c>
      <c r="F494" s="10">
        <v>77425.62</v>
      </c>
      <c r="H494">
        <v>0</v>
      </c>
      <c r="J494" s="10">
        <v>2622799.0699999998</v>
      </c>
      <c r="L494" s="1">
        <f t="shared" si="7"/>
        <v>2622799.0699999998</v>
      </c>
      <c r="N494" s="6" t="str">
        <f>IF(ISERROR(VLOOKUP($A494,'Plano de Contas'!#REF!,8,FALSE)),"",VLOOKUP($A494,'Plano de Contas'!#REF!,8,FALSE))</f>
        <v/>
      </c>
      <c r="P494" s="6" t="str">
        <f>IF(ISERROR(VLOOKUP($A494,'Plano de Contas'!#REF!,10,FALSE)),"",VLOOKUP($A494,'Plano de Contas'!#REF!,10,FALSE))</f>
        <v/>
      </c>
    </row>
    <row r="495" spans="1:16" x14ac:dyDescent="0.25">
      <c r="A495" t="s">
        <v>838</v>
      </c>
      <c r="B495">
        <v>244</v>
      </c>
      <c r="C495" t="s">
        <v>839</v>
      </c>
      <c r="D495" s="10">
        <v>59133.53</v>
      </c>
      <c r="F495" s="10">
        <v>4856.21</v>
      </c>
      <c r="H495" s="10">
        <v>2439.15</v>
      </c>
      <c r="I495" t="s">
        <v>35</v>
      </c>
      <c r="J495" s="10">
        <v>61550.59</v>
      </c>
      <c r="L495" s="1">
        <f t="shared" si="7"/>
        <v>61550.59</v>
      </c>
      <c r="N495" s="6" t="str">
        <f>IF(ISERROR(VLOOKUP($A495,'Plano de Contas'!#REF!,8,FALSE)),"",VLOOKUP($A495,'Plano de Contas'!#REF!,8,FALSE))</f>
        <v/>
      </c>
      <c r="P495" s="6" t="str">
        <f>IF(ISERROR(VLOOKUP($A495,'Plano de Contas'!#REF!,10,FALSE)),"",VLOOKUP($A495,'Plano de Contas'!#REF!,10,FALSE))</f>
        <v/>
      </c>
    </row>
    <row r="496" spans="1:16" x14ac:dyDescent="0.25">
      <c r="A496" t="s">
        <v>840</v>
      </c>
      <c r="B496">
        <v>245</v>
      </c>
      <c r="C496" t="s">
        <v>841</v>
      </c>
      <c r="D496" s="10">
        <v>134534.68</v>
      </c>
      <c r="F496" s="10">
        <v>5631.45</v>
      </c>
      <c r="H496">
        <v>0</v>
      </c>
      <c r="J496" s="10">
        <v>140166.13</v>
      </c>
      <c r="L496" s="1">
        <f t="shared" si="7"/>
        <v>140166.13</v>
      </c>
      <c r="N496" s="6" t="str">
        <f>IF(ISERROR(VLOOKUP($A496,'Plano de Contas'!#REF!,8,FALSE)),"",VLOOKUP($A496,'Plano de Contas'!#REF!,8,FALSE))</f>
        <v/>
      </c>
      <c r="P496" s="6" t="str">
        <f>IF(ISERROR(VLOOKUP($A496,'Plano de Contas'!#REF!,10,FALSE)),"",VLOOKUP($A496,'Plano de Contas'!#REF!,10,FALSE))</f>
        <v/>
      </c>
    </row>
    <row r="497" spans="1:16" x14ac:dyDescent="0.25">
      <c r="A497" t="s">
        <v>842</v>
      </c>
      <c r="B497">
        <v>246</v>
      </c>
      <c r="C497" t="s">
        <v>843</v>
      </c>
      <c r="D497" s="10">
        <v>25545.45</v>
      </c>
      <c r="F497" s="10">
        <v>2910</v>
      </c>
      <c r="H497">
        <v>0</v>
      </c>
      <c r="J497" s="10">
        <v>28455.45</v>
      </c>
      <c r="L497" s="1">
        <f t="shared" si="7"/>
        <v>28455.45</v>
      </c>
      <c r="N497" s="6" t="str">
        <f>IF(ISERROR(VLOOKUP($A497,'Plano de Contas'!#REF!,8,FALSE)),"",VLOOKUP($A497,'Plano de Contas'!#REF!,8,FALSE))</f>
        <v/>
      </c>
      <c r="P497" s="6" t="str">
        <f>IF(ISERROR(VLOOKUP($A497,'Plano de Contas'!#REF!,10,FALSE)),"",VLOOKUP($A497,'Plano de Contas'!#REF!,10,FALSE))</f>
        <v/>
      </c>
    </row>
    <row r="498" spans="1:16" x14ac:dyDescent="0.25">
      <c r="A498" t="s">
        <v>844</v>
      </c>
      <c r="B498">
        <v>247</v>
      </c>
      <c r="C498" t="s">
        <v>845</v>
      </c>
      <c r="D498" s="10">
        <v>4104.17</v>
      </c>
      <c r="F498">
        <v>0</v>
      </c>
      <c r="H498">
        <v>0</v>
      </c>
      <c r="J498" s="10">
        <v>4104.17</v>
      </c>
      <c r="L498" s="1">
        <f t="shared" si="7"/>
        <v>4104.17</v>
      </c>
      <c r="N498" s="6" t="str">
        <f>IF(ISERROR(VLOOKUP($A498,'Plano de Contas'!#REF!,8,FALSE)),"",VLOOKUP($A498,'Plano de Contas'!#REF!,8,FALSE))</f>
        <v/>
      </c>
      <c r="P498" s="6" t="str">
        <f>IF(ISERROR(VLOOKUP($A498,'Plano de Contas'!#REF!,10,FALSE)),"",VLOOKUP($A498,'Plano de Contas'!#REF!,10,FALSE))</f>
        <v/>
      </c>
    </row>
    <row r="499" spans="1:16" x14ac:dyDescent="0.25">
      <c r="A499" t="s">
        <v>846</v>
      </c>
      <c r="B499">
        <v>248</v>
      </c>
      <c r="C499" t="s">
        <v>847</v>
      </c>
      <c r="D499" s="10">
        <v>48993</v>
      </c>
      <c r="F499">
        <v>360</v>
      </c>
      <c r="H499">
        <v>0</v>
      </c>
      <c r="J499" s="10">
        <v>49353</v>
      </c>
      <c r="L499" s="1">
        <f t="shared" si="7"/>
        <v>49353</v>
      </c>
      <c r="N499" s="6" t="str">
        <f>IF(ISERROR(VLOOKUP($A499,'Plano de Contas'!#REF!,8,FALSE)),"",VLOOKUP($A499,'Plano de Contas'!#REF!,8,FALSE))</f>
        <v/>
      </c>
      <c r="P499" s="6" t="str">
        <f>IF(ISERROR(VLOOKUP($A499,'Plano de Contas'!#REF!,10,FALSE)),"",VLOOKUP($A499,'Plano de Contas'!#REF!,10,FALSE))</f>
        <v/>
      </c>
    </row>
    <row r="500" spans="1:16" x14ac:dyDescent="0.25">
      <c r="A500" t="s">
        <v>848</v>
      </c>
      <c r="B500">
        <v>249</v>
      </c>
      <c r="C500" t="s">
        <v>849</v>
      </c>
      <c r="D500" s="10">
        <v>60968.38</v>
      </c>
      <c r="F500" s="10">
        <v>16022.03</v>
      </c>
      <c r="H500">
        <v>0</v>
      </c>
      <c r="J500" s="10">
        <v>76990.41</v>
      </c>
      <c r="L500" s="1">
        <f t="shared" si="7"/>
        <v>76990.41</v>
      </c>
      <c r="N500" s="6" t="str">
        <f>IF(ISERROR(VLOOKUP($A500,'Plano de Contas'!#REF!,8,FALSE)),"",VLOOKUP($A500,'Plano de Contas'!#REF!,8,FALSE))</f>
        <v/>
      </c>
      <c r="P500" s="6" t="str">
        <f>IF(ISERROR(VLOOKUP($A500,'Plano de Contas'!#REF!,10,FALSE)),"",VLOOKUP($A500,'Plano de Contas'!#REF!,10,FALSE))</f>
        <v/>
      </c>
    </row>
    <row r="501" spans="1:16" x14ac:dyDescent="0.25">
      <c r="A501" t="s">
        <v>850</v>
      </c>
      <c r="B501">
        <v>250</v>
      </c>
      <c r="C501" t="s">
        <v>851</v>
      </c>
      <c r="D501" s="10">
        <v>400493.29</v>
      </c>
      <c r="F501" s="10">
        <v>41335.410000000003</v>
      </c>
      <c r="H501">
        <v>0</v>
      </c>
      <c r="J501" s="10">
        <v>441828.7</v>
      </c>
      <c r="L501" s="1">
        <f t="shared" si="7"/>
        <v>441828.7</v>
      </c>
      <c r="N501" s="6" t="str">
        <f>IF(ISERROR(VLOOKUP($A501,'Plano de Contas'!#REF!,8,FALSE)),"",VLOOKUP($A501,'Plano de Contas'!#REF!,8,FALSE))</f>
        <v/>
      </c>
      <c r="P501" s="6" t="str">
        <f>IF(ISERROR(VLOOKUP($A501,'Plano de Contas'!#REF!,10,FALSE)),"",VLOOKUP($A501,'Plano de Contas'!#REF!,10,FALSE))</f>
        <v/>
      </c>
    </row>
    <row r="502" spans="1:16" x14ac:dyDescent="0.25">
      <c r="A502" t="s">
        <v>852</v>
      </c>
      <c r="B502">
        <v>251</v>
      </c>
      <c r="C502" t="s">
        <v>853</v>
      </c>
      <c r="D502" s="10">
        <v>19764.900000000001</v>
      </c>
      <c r="F502">
        <v>234.38</v>
      </c>
      <c r="H502">
        <v>0</v>
      </c>
      <c r="J502" s="10">
        <v>19999.28</v>
      </c>
      <c r="L502" s="1">
        <f t="shared" si="7"/>
        <v>19999.28</v>
      </c>
      <c r="N502" s="6" t="str">
        <f>IF(ISERROR(VLOOKUP($A502,'Plano de Contas'!#REF!,8,FALSE)),"",VLOOKUP($A502,'Plano de Contas'!#REF!,8,FALSE))</f>
        <v/>
      </c>
      <c r="P502" s="6" t="str">
        <f>IF(ISERROR(VLOOKUP($A502,'Plano de Contas'!#REF!,10,FALSE)),"",VLOOKUP($A502,'Plano de Contas'!#REF!,10,FALSE))</f>
        <v/>
      </c>
    </row>
    <row r="503" spans="1:16" x14ac:dyDescent="0.25">
      <c r="A503" t="s">
        <v>854</v>
      </c>
      <c r="B503">
        <v>252</v>
      </c>
      <c r="C503" t="s">
        <v>855</v>
      </c>
      <c r="D503" s="10">
        <v>3197.5</v>
      </c>
      <c r="F503">
        <v>0</v>
      </c>
      <c r="H503">
        <v>0</v>
      </c>
      <c r="J503" s="10">
        <v>3197.5</v>
      </c>
      <c r="L503" s="1">
        <f t="shared" si="7"/>
        <v>3197.5</v>
      </c>
      <c r="N503" s="6" t="str">
        <f>IF(ISERROR(VLOOKUP($A503,'Plano de Contas'!#REF!,8,FALSE)),"",VLOOKUP($A503,'Plano de Contas'!#REF!,8,FALSE))</f>
        <v/>
      </c>
      <c r="P503" s="6" t="str">
        <f>IF(ISERROR(VLOOKUP($A503,'Plano de Contas'!#REF!,10,FALSE)),"",VLOOKUP($A503,'Plano de Contas'!#REF!,10,FALSE))</f>
        <v/>
      </c>
    </row>
    <row r="504" spans="1:16" x14ac:dyDescent="0.25">
      <c r="A504" t="s">
        <v>856</v>
      </c>
      <c r="B504">
        <v>253</v>
      </c>
      <c r="C504" t="s">
        <v>857</v>
      </c>
      <c r="D504" s="10">
        <v>667941.89</v>
      </c>
      <c r="F504" s="10">
        <v>52752.42</v>
      </c>
      <c r="H504">
        <v>0</v>
      </c>
      <c r="J504" s="10">
        <v>720694.31</v>
      </c>
      <c r="L504" s="1">
        <f t="shared" si="7"/>
        <v>720694.31</v>
      </c>
      <c r="N504" s="6" t="str">
        <f>IF(ISERROR(VLOOKUP($A504,'Plano de Contas'!#REF!,8,FALSE)),"",VLOOKUP($A504,'Plano de Contas'!#REF!,8,FALSE))</f>
        <v/>
      </c>
      <c r="P504" s="6" t="str">
        <f>IF(ISERROR(VLOOKUP($A504,'Plano de Contas'!#REF!,10,FALSE)),"",VLOOKUP($A504,'Plano de Contas'!#REF!,10,FALSE))</f>
        <v/>
      </c>
    </row>
    <row r="505" spans="1:16" x14ac:dyDescent="0.25">
      <c r="A505" t="s">
        <v>858</v>
      </c>
      <c r="B505">
        <v>254</v>
      </c>
      <c r="C505" t="s">
        <v>859</v>
      </c>
      <c r="D505" s="10">
        <v>8915351.3300000001</v>
      </c>
      <c r="F505" s="10">
        <v>1209696</v>
      </c>
      <c r="H505">
        <v>0</v>
      </c>
      <c r="J505" s="10">
        <v>10125047.33</v>
      </c>
      <c r="L505" s="1">
        <f t="shared" si="7"/>
        <v>10125047.33</v>
      </c>
      <c r="N505" s="6" t="str">
        <f>IF(ISERROR(VLOOKUP($A505,'Plano de Contas'!#REF!,8,FALSE)),"",VLOOKUP($A505,'Plano de Contas'!#REF!,8,FALSE))</f>
        <v/>
      </c>
      <c r="P505" s="6" t="str">
        <f>IF(ISERROR(VLOOKUP($A505,'Plano de Contas'!#REF!,10,FALSE)),"",VLOOKUP($A505,'Plano de Contas'!#REF!,10,FALSE))</f>
        <v/>
      </c>
    </row>
    <row r="506" spans="1:16" x14ac:dyDescent="0.25">
      <c r="A506" t="s">
        <v>860</v>
      </c>
      <c r="B506">
        <v>255</v>
      </c>
      <c r="C506" t="s">
        <v>861</v>
      </c>
      <c r="D506" s="10">
        <v>2086835.05</v>
      </c>
      <c r="F506" s="10">
        <v>689708.65</v>
      </c>
      <c r="H506">
        <v>0</v>
      </c>
      <c r="J506" s="10">
        <v>2776543.7</v>
      </c>
      <c r="L506" s="1">
        <f t="shared" si="7"/>
        <v>2776543.7</v>
      </c>
      <c r="N506" s="6" t="str">
        <f>IF(ISERROR(VLOOKUP($A506,'Plano de Contas'!#REF!,8,FALSE)),"",VLOOKUP($A506,'Plano de Contas'!#REF!,8,FALSE))</f>
        <v/>
      </c>
      <c r="P506" s="6" t="str">
        <f>IF(ISERROR(VLOOKUP($A506,'Plano de Contas'!#REF!,10,FALSE)),"",VLOOKUP($A506,'Plano de Contas'!#REF!,10,FALSE))</f>
        <v/>
      </c>
    </row>
    <row r="507" spans="1:16" x14ac:dyDescent="0.25">
      <c r="A507" t="s">
        <v>862</v>
      </c>
      <c r="B507">
        <v>256</v>
      </c>
      <c r="C507" t="s">
        <v>863</v>
      </c>
      <c r="D507" s="10">
        <v>2825899.54</v>
      </c>
      <c r="F507" s="10">
        <v>448368.81</v>
      </c>
      <c r="H507">
        <v>0</v>
      </c>
      <c r="J507" s="10">
        <v>3274268.35</v>
      </c>
      <c r="L507" s="1">
        <f t="shared" si="7"/>
        <v>3274268.35</v>
      </c>
      <c r="N507" s="6" t="str">
        <f>IF(ISERROR(VLOOKUP($A507,'Plano de Contas'!#REF!,8,FALSE)),"",VLOOKUP($A507,'Plano de Contas'!#REF!,8,FALSE))</f>
        <v/>
      </c>
      <c r="P507" s="6" t="str">
        <f>IF(ISERROR(VLOOKUP($A507,'Plano de Contas'!#REF!,10,FALSE)),"",VLOOKUP($A507,'Plano de Contas'!#REF!,10,FALSE))</f>
        <v/>
      </c>
    </row>
    <row r="508" spans="1:16" x14ac:dyDescent="0.25">
      <c r="A508" t="s">
        <v>864</v>
      </c>
      <c r="B508">
        <v>257</v>
      </c>
      <c r="C508" t="s">
        <v>865</v>
      </c>
      <c r="D508" s="10">
        <v>3998241.71</v>
      </c>
      <c r="F508" s="10">
        <v>289776.59999999998</v>
      </c>
      <c r="H508">
        <v>0</v>
      </c>
      <c r="J508" s="10">
        <v>4288018.3099999996</v>
      </c>
      <c r="L508" s="1">
        <f t="shared" si="7"/>
        <v>4288018.3099999996</v>
      </c>
      <c r="N508" s="6" t="str">
        <f>IF(ISERROR(VLOOKUP($A508,'Plano de Contas'!#REF!,8,FALSE)),"",VLOOKUP($A508,'Plano de Contas'!#REF!,8,FALSE))</f>
        <v/>
      </c>
      <c r="P508" s="6" t="str">
        <f>IF(ISERROR(VLOOKUP($A508,'Plano de Contas'!#REF!,10,FALSE)),"",VLOOKUP($A508,'Plano de Contas'!#REF!,10,FALSE))</f>
        <v/>
      </c>
    </row>
    <row r="509" spans="1:16" x14ac:dyDescent="0.25">
      <c r="A509" t="s">
        <v>866</v>
      </c>
      <c r="B509">
        <v>258</v>
      </c>
      <c r="C509" t="s">
        <v>867</v>
      </c>
      <c r="D509" s="10">
        <v>26982783.77</v>
      </c>
      <c r="F509" s="10">
        <v>2453752.16</v>
      </c>
      <c r="H509">
        <v>0</v>
      </c>
      <c r="J509" s="10">
        <v>29436535.93</v>
      </c>
      <c r="L509" s="1">
        <f t="shared" si="7"/>
        <v>29436535.93</v>
      </c>
      <c r="N509" s="6" t="str">
        <f>IF(ISERROR(VLOOKUP($A509,'Plano de Contas'!#REF!,8,FALSE)),"",VLOOKUP($A509,'Plano de Contas'!#REF!,8,FALSE))</f>
        <v/>
      </c>
      <c r="P509" s="6" t="str">
        <f>IF(ISERROR(VLOOKUP($A509,'Plano de Contas'!#REF!,10,FALSE)),"",VLOOKUP($A509,'Plano de Contas'!#REF!,10,FALSE))</f>
        <v/>
      </c>
    </row>
    <row r="510" spans="1:16" x14ac:dyDescent="0.25">
      <c r="A510" t="s">
        <v>868</v>
      </c>
      <c r="B510">
        <v>259</v>
      </c>
      <c r="C510" t="s">
        <v>869</v>
      </c>
      <c r="D510" s="10">
        <v>7594.32</v>
      </c>
      <c r="F510">
        <v>0</v>
      </c>
      <c r="H510">
        <v>0</v>
      </c>
      <c r="J510" s="10">
        <v>7594.32</v>
      </c>
      <c r="L510" s="1">
        <f t="shared" si="7"/>
        <v>7594.32</v>
      </c>
      <c r="N510" s="6" t="str">
        <f>IF(ISERROR(VLOOKUP($A510,'Plano de Contas'!#REF!,8,FALSE)),"",VLOOKUP($A510,'Plano de Contas'!#REF!,8,FALSE))</f>
        <v/>
      </c>
      <c r="P510" s="6" t="str">
        <f>IF(ISERROR(VLOOKUP($A510,'Plano de Contas'!#REF!,10,FALSE)),"",VLOOKUP($A510,'Plano de Contas'!#REF!,10,FALSE))</f>
        <v/>
      </c>
    </row>
    <row r="511" spans="1:16" x14ac:dyDescent="0.25">
      <c r="A511" t="s">
        <v>870</v>
      </c>
      <c r="B511">
        <v>260</v>
      </c>
      <c r="C511" t="s">
        <v>871</v>
      </c>
      <c r="D511" s="10">
        <v>146925.53</v>
      </c>
      <c r="F511" s="10">
        <v>13123.62</v>
      </c>
      <c r="H511">
        <v>0</v>
      </c>
      <c r="J511" s="10">
        <v>160049.15</v>
      </c>
      <c r="L511" s="1">
        <f t="shared" si="7"/>
        <v>160049.15</v>
      </c>
      <c r="N511" s="6" t="str">
        <f>IF(ISERROR(VLOOKUP($A511,'Plano de Contas'!#REF!,8,FALSE)),"",VLOOKUP($A511,'Plano de Contas'!#REF!,8,FALSE))</f>
        <v/>
      </c>
      <c r="P511" s="6" t="str">
        <f>IF(ISERROR(VLOOKUP($A511,'Plano de Contas'!#REF!,10,FALSE)),"",VLOOKUP($A511,'Plano de Contas'!#REF!,10,FALSE))</f>
        <v/>
      </c>
    </row>
    <row r="512" spans="1:16" x14ac:dyDescent="0.25">
      <c r="A512" t="s">
        <v>872</v>
      </c>
      <c r="B512">
        <v>262</v>
      </c>
      <c r="C512" t="s">
        <v>873</v>
      </c>
      <c r="D512" s="10">
        <v>751431.26</v>
      </c>
      <c r="F512" s="10">
        <v>53026.47</v>
      </c>
      <c r="H512">
        <v>0</v>
      </c>
      <c r="J512" s="10">
        <v>804457.73</v>
      </c>
      <c r="L512" s="1">
        <f t="shared" si="7"/>
        <v>804457.73</v>
      </c>
      <c r="N512" s="6" t="str">
        <f>IF(ISERROR(VLOOKUP($A512,'Plano de Contas'!#REF!,8,FALSE)),"",VLOOKUP($A512,'Plano de Contas'!#REF!,8,FALSE))</f>
        <v/>
      </c>
      <c r="P512" s="6" t="str">
        <f>IF(ISERROR(VLOOKUP($A512,'Plano de Contas'!#REF!,10,FALSE)),"",VLOOKUP($A512,'Plano de Contas'!#REF!,10,FALSE))</f>
        <v/>
      </c>
    </row>
    <row r="513" spans="1:16" x14ac:dyDescent="0.25">
      <c r="A513" t="s">
        <v>874</v>
      </c>
      <c r="B513">
        <v>263</v>
      </c>
      <c r="C513" t="s">
        <v>875</v>
      </c>
      <c r="D513" s="10">
        <v>75274.990000000005</v>
      </c>
      <c r="F513" s="10">
        <v>8991</v>
      </c>
      <c r="H513">
        <v>0</v>
      </c>
      <c r="J513" s="10">
        <v>84265.99</v>
      </c>
      <c r="L513" s="1">
        <f t="shared" si="7"/>
        <v>84265.99</v>
      </c>
      <c r="N513" s="6" t="str">
        <f>IF(ISERROR(VLOOKUP($A513,'Plano de Contas'!#REF!,8,FALSE)),"",VLOOKUP($A513,'Plano de Contas'!#REF!,8,FALSE))</f>
        <v/>
      </c>
      <c r="P513" s="6" t="str">
        <f>IF(ISERROR(VLOOKUP($A513,'Plano de Contas'!#REF!,10,FALSE)),"",VLOOKUP($A513,'Plano de Contas'!#REF!,10,FALSE))</f>
        <v/>
      </c>
    </row>
    <row r="514" spans="1:16" x14ac:dyDescent="0.25">
      <c r="A514" t="s">
        <v>876</v>
      </c>
      <c r="B514">
        <v>264</v>
      </c>
      <c r="C514" t="s">
        <v>877</v>
      </c>
      <c r="D514">
        <v>752.03</v>
      </c>
      <c r="F514">
        <v>0</v>
      </c>
      <c r="H514">
        <v>0</v>
      </c>
      <c r="J514">
        <v>752.03</v>
      </c>
      <c r="L514" s="1">
        <f t="shared" si="7"/>
        <v>752.03</v>
      </c>
      <c r="N514" s="6" t="str">
        <f>IF(ISERROR(VLOOKUP($A514,'Plano de Contas'!#REF!,8,FALSE)),"",VLOOKUP($A514,'Plano de Contas'!#REF!,8,FALSE))</f>
        <v/>
      </c>
      <c r="P514" s="6" t="str">
        <f>IF(ISERROR(VLOOKUP($A514,'Plano de Contas'!#REF!,10,FALSE)),"",VLOOKUP($A514,'Plano de Contas'!#REF!,10,FALSE))</f>
        <v/>
      </c>
    </row>
    <row r="515" spans="1:16" x14ac:dyDescent="0.25">
      <c r="A515" t="s">
        <v>878</v>
      </c>
      <c r="B515">
        <v>265</v>
      </c>
      <c r="C515" t="s">
        <v>879</v>
      </c>
      <c r="D515" s="10">
        <v>76607.39</v>
      </c>
      <c r="F515" s="10">
        <v>7417.1</v>
      </c>
      <c r="H515">
        <v>0</v>
      </c>
      <c r="J515" s="10">
        <v>84024.49</v>
      </c>
      <c r="L515" s="1">
        <f t="shared" si="7"/>
        <v>84024.49</v>
      </c>
      <c r="N515" s="6" t="str">
        <f>IF(ISERROR(VLOOKUP($A515,'Plano de Contas'!#REF!,8,FALSE)),"",VLOOKUP($A515,'Plano de Contas'!#REF!,8,FALSE))</f>
        <v/>
      </c>
      <c r="P515" s="6" t="str">
        <f>IF(ISERROR(VLOOKUP($A515,'Plano de Contas'!#REF!,10,FALSE)),"",VLOOKUP($A515,'Plano de Contas'!#REF!,10,FALSE))</f>
        <v/>
      </c>
    </row>
    <row r="516" spans="1:16" x14ac:dyDescent="0.25">
      <c r="A516" t="s">
        <v>880</v>
      </c>
      <c r="B516">
        <v>266</v>
      </c>
      <c r="C516" t="s">
        <v>881</v>
      </c>
      <c r="D516" s="10">
        <v>25930.85</v>
      </c>
      <c r="F516" s="10">
        <v>2774.75</v>
      </c>
      <c r="H516">
        <v>0</v>
      </c>
      <c r="J516" s="10">
        <v>28705.599999999999</v>
      </c>
      <c r="L516" s="1">
        <f t="shared" si="7"/>
        <v>28705.599999999999</v>
      </c>
      <c r="N516" s="6" t="str">
        <f>IF(ISERROR(VLOOKUP($A516,'Plano de Contas'!#REF!,8,FALSE)),"",VLOOKUP($A516,'Plano de Contas'!#REF!,8,FALSE))</f>
        <v/>
      </c>
      <c r="P516" s="6" t="str">
        <f>IF(ISERROR(VLOOKUP($A516,'Plano de Contas'!#REF!,10,FALSE)),"",VLOOKUP($A516,'Plano de Contas'!#REF!,10,FALSE))</f>
        <v/>
      </c>
    </row>
    <row r="517" spans="1:16" x14ac:dyDescent="0.25">
      <c r="A517" t="s">
        <v>882</v>
      </c>
      <c r="B517">
        <v>267</v>
      </c>
      <c r="C517" t="s">
        <v>883</v>
      </c>
      <c r="D517" s="10">
        <v>9417.7900000000009</v>
      </c>
      <c r="F517">
        <v>0</v>
      </c>
      <c r="H517">
        <v>0</v>
      </c>
      <c r="J517" s="10">
        <v>9417.7900000000009</v>
      </c>
      <c r="L517" s="1">
        <f t="shared" si="7"/>
        <v>9417.7900000000009</v>
      </c>
      <c r="N517" s="6" t="str">
        <f>IF(ISERROR(VLOOKUP($A517,'Plano de Contas'!#REF!,8,FALSE)),"",VLOOKUP($A517,'Plano de Contas'!#REF!,8,FALSE))</f>
        <v/>
      </c>
      <c r="P517" s="6" t="str">
        <f>IF(ISERROR(VLOOKUP($A517,'Plano de Contas'!#REF!,10,FALSE)),"",VLOOKUP($A517,'Plano de Contas'!#REF!,10,FALSE))</f>
        <v/>
      </c>
    </row>
    <row r="518" spans="1:16" x14ac:dyDescent="0.25">
      <c r="A518" t="s">
        <v>884</v>
      </c>
      <c r="B518">
        <v>268</v>
      </c>
      <c r="C518" t="s">
        <v>885</v>
      </c>
      <c r="D518" s="10">
        <v>21500</v>
      </c>
      <c r="F518">
        <v>0</v>
      </c>
      <c r="H518">
        <v>0</v>
      </c>
      <c r="J518" s="10">
        <v>21500</v>
      </c>
      <c r="L518" s="1">
        <f t="shared" si="7"/>
        <v>21500</v>
      </c>
      <c r="N518" s="6" t="str">
        <f>IF(ISERROR(VLOOKUP($A518,'Plano de Contas'!#REF!,8,FALSE)),"",VLOOKUP($A518,'Plano de Contas'!#REF!,8,FALSE))</f>
        <v/>
      </c>
      <c r="P518" s="6" t="str">
        <f>IF(ISERROR(VLOOKUP($A518,'Plano de Contas'!#REF!,10,FALSE)),"",VLOOKUP($A518,'Plano de Contas'!#REF!,10,FALSE))</f>
        <v/>
      </c>
    </row>
    <row r="519" spans="1:16" x14ac:dyDescent="0.25">
      <c r="A519" t="s">
        <v>886</v>
      </c>
      <c r="B519">
        <v>269</v>
      </c>
      <c r="C519" t="s">
        <v>887</v>
      </c>
      <c r="D519" s="10">
        <v>81519.240000000005</v>
      </c>
      <c r="F519">
        <v>0</v>
      </c>
      <c r="H519">
        <v>0</v>
      </c>
      <c r="J519" s="10">
        <v>81519.240000000005</v>
      </c>
      <c r="L519" s="1">
        <f t="shared" si="7"/>
        <v>81519.240000000005</v>
      </c>
      <c r="N519" s="6" t="str">
        <f>IF(ISERROR(VLOOKUP($A519,'Plano de Contas'!#REF!,8,FALSE)),"",VLOOKUP($A519,'Plano de Contas'!#REF!,8,FALSE))</f>
        <v/>
      </c>
      <c r="P519" s="6" t="str">
        <f>IF(ISERROR(VLOOKUP($A519,'Plano de Contas'!#REF!,10,FALSE)),"",VLOOKUP($A519,'Plano de Contas'!#REF!,10,FALSE))</f>
        <v/>
      </c>
    </row>
    <row r="520" spans="1:16" x14ac:dyDescent="0.25">
      <c r="A520" t="s">
        <v>888</v>
      </c>
      <c r="B520">
        <v>270</v>
      </c>
      <c r="C520" t="s">
        <v>889</v>
      </c>
      <c r="D520" s="10">
        <v>509074.97</v>
      </c>
      <c r="F520" s="10">
        <v>20207.21</v>
      </c>
      <c r="H520" s="10">
        <v>2555</v>
      </c>
      <c r="I520" t="s">
        <v>35</v>
      </c>
      <c r="J520" s="10">
        <v>526727.18000000005</v>
      </c>
      <c r="L520" s="1">
        <f t="shared" ref="L520:L583" si="8">IF(K520="-",-J520,J520)</f>
        <v>526727.18000000005</v>
      </c>
      <c r="N520" s="6" t="str">
        <f>IF(ISERROR(VLOOKUP($A520,'Plano de Contas'!#REF!,8,FALSE)),"",VLOOKUP($A520,'Plano de Contas'!#REF!,8,FALSE))</f>
        <v/>
      </c>
      <c r="P520" s="6" t="str">
        <f>IF(ISERROR(VLOOKUP($A520,'Plano de Contas'!#REF!,10,FALSE)),"",VLOOKUP($A520,'Plano de Contas'!#REF!,10,FALSE))</f>
        <v/>
      </c>
    </row>
    <row r="521" spans="1:16" x14ac:dyDescent="0.25">
      <c r="A521" t="s">
        <v>890</v>
      </c>
      <c r="B521">
        <v>272</v>
      </c>
      <c r="C521" t="s">
        <v>891</v>
      </c>
      <c r="D521" s="10">
        <v>3503.48</v>
      </c>
      <c r="F521">
        <v>68</v>
      </c>
      <c r="H521">
        <v>0</v>
      </c>
      <c r="J521" s="10">
        <v>3571.48</v>
      </c>
      <c r="L521" s="1">
        <f t="shared" si="8"/>
        <v>3571.48</v>
      </c>
      <c r="N521" s="6" t="str">
        <f>IF(ISERROR(VLOOKUP($A521,'Plano de Contas'!#REF!,8,FALSE)),"",VLOOKUP($A521,'Plano de Contas'!#REF!,8,FALSE))</f>
        <v/>
      </c>
      <c r="P521" s="6" t="str">
        <f>IF(ISERROR(VLOOKUP($A521,'Plano de Contas'!#REF!,10,FALSE)),"",VLOOKUP($A521,'Plano de Contas'!#REF!,10,FALSE))</f>
        <v/>
      </c>
    </row>
    <row r="522" spans="1:16" x14ac:dyDescent="0.25">
      <c r="A522" t="s">
        <v>892</v>
      </c>
      <c r="B522">
        <v>273</v>
      </c>
      <c r="C522" t="s">
        <v>893</v>
      </c>
      <c r="D522" s="10">
        <v>10299.469999999999</v>
      </c>
      <c r="F522">
        <v>0</v>
      </c>
      <c r="H522">
        <v>0</v>
      </c>
      <c r="J522" s="10">
        <v>10299.469999999999</v>
      </c>
      <c r="L522" s="1">
        <f t="shared" si="8"/>
        <v>10299.469999999999</v>
      </c>
      <c r="N522" s="6" t="str">
        <f>IF(ISERROR(VLOOKUP($A522,'Plano de Contas'!#REF!,8,FALSE)),"",VLOOKUP($A522,'Plano de Contas'!#REF!,8,FALSE))</f>
        <v/>
      </c>
      <c r="P522" s="6" t="str">
        <f>IF(ISERROR(VLOOKUP($A522,'Plano de Contas'!#REF!,10,FALSE)),"",VLOOKUP($A522,'Plano de Contas'!#REF!,10,FALSE))</f>
        <v/>
      </c>
    </row>
    <row r="523" spans="1:16" x14ac:dyDescent="0.25">
      <c r="A523" t="s">
        <v>894</v>
      </c>
      <c r="B523">
        <v>274</v>
      </c>
      <c r="C523" t="s">
        <v>895</v>
      </c>
      <c r="D523" s="10">
        <v>339684.18</v>
      </c>
      <c r="F523" s="10">
        <v>7596.16</v>
      </c>
      <c r="H523">
        <v>0</v>
      </c>
      <c r="J523" s="10">
        <v>347280.34</v>
      </c>
      <c r="L523" s="1">
        <f t="shared" si="8"/>
        <v>347280.34</v>
      </c>
      <c r="N523" s="6" t="str">
        <f>IF(ISERROR(VLOOKUP($A523,'Plano de Contas'!#REF!,8,FALSE)),"",VLOOKUP($A523,'Plano de Contas'!#REF!,8,FALSE))</f>
        <v/>
      </c>
      <c r="P523" s="6" t="str">
        <f>IF(ISERROR(VLOOKUP($A523,'Plano de Contas'!#REF!,10,FALSE)),"",VLOOKUP($A523,'Plano de Contas'!#REF!,10,FALSE))</f>
        <v/>
      </c>
    </row>
    <row r="524" spans="1:16" x14ac:dyDescent="0.25">
      <c r="A524" t="s">
        <v>896</v>
      </c>
      <c r="B524">
        <v>275</v>
      </c>
      <c r="C524" t="s">
        <v>897</v>
      </c>
      <c r="D524" s="10">
        <v>5743.5</v>
      </c>
      <c r="F524">
        <v>0</v>
      </c>
      <c r="H524">
        <v>0</v>
      </c>
      <c r="J524" s="10">
        <v>5743.5</v>
      </c>
      <c r="L524" s="1">
        <f t="shared" si="8"/>
        <v>5743.5</v>
      </c>
      <c r="N524" s="6" t="str">
        <f>IF(ISERROR(VLOOKUP($A524,'Plano de Contas'!#REF!,8,FALSE)),"",VLOOKUP($A524,'Plano de Contas'!#REF!,8,FALSE))</f>
        <v/>
      </c>
      <c r="P524" s="6" t="str">
        <f>IF(ISERROR(VLOOKUP($A524,'Plano de Contas'!#REF!,10,FALSE)),"",VLOOKUP($A524,'Plano de Contas'!#REF!,10,FALSE))</f>
        <v/>
      </c>
    </row>
    <row r="525" spans="1:16" x14ac:dyDescent="0.25">
      <c r="A525" t="s">
        <v>898</v>
      </c>
      <c r="B525">
        <v>276</v>
      </c>
      <c r="C525" t="s">
        <v>899</v>
      </c>
      <c r="D525" s="10">
        <v>180530.8</v>
      </c>
      <c r="F525" s="10">
        <v>10053.06</v>
      </c>
      <c r="H525" s="10">
        <v>3110</v>
      </c>
      <c r="I525" t="s">
        <v>35</v>
      </c>
      <c r="J525" s="10">
        <v>187473.86</v>
      </c>
      <c r="L525" s="1">
        <f t="shared" si="8"/>
        <v>187473.86</v>
      </c>
      <c r="N525" s="6" t="str">
        <f>IF(ISERROR(VLOOKUP($A525,'Plano de Contas'!#REF!,8,FALSE)),"",VLOOKUP($A525,'Plano de Contas'!#REF!,8,FALSE))</f>
        <v/>
      </c>
      <c r="P525" s="6" t="str">
        <f>IF(ISERROR(VLOOKUP($A525,'Plano de Contas'!#REF!,10,FALSE)),"",VLOOKUP($A525,'Plano de Contas'!#REF!,10,FALSE))</f>
        <v/>
      </c>
    </row>
    <row r="526" spans="1:16" x14ac:dyDescent="0.25">
      <c r="A526" t="s">
        <v>900</v>
      </c>
      <c r="B526">
        <v>426</v>
      </c>
      <c r="C526" t="s">
        <v>901</v>
      </c>
      <c r="D526" s="10">
        <v>211623.89</v>
      </c>
      <c r="F526" s="10">
        <v>40098.83</v>
      </c>
      <c r="H526">
        <v>0</v>
      </c>
      <c r="J526" s="10">
        <v>251722.72</v>
      </c>
      <c r="L526" s="1">
        <f t="shared" si="8"/>
        <v>251722.72</v>
      </c>
      <c r="N526" s="6" t="str">
        <f>IF(ISERROR(VLOOKUP($A526,'Plano de Contas'!#REF!,8,FALSE)),"",VLOOKUP($A526,'Plano de Contas'!#REF!,8,FALSE))</f>
        <v/>
      </c>
      <c r="P526" s="6" t="str">
        <f>IF(ISERROR(VLOOKUP($A526,'Plano de Contas'!#REF!,10,FALSE)),"",VLOOKUP($A526,'Plano de Contas'!#REF!,10,FALSE))</f>
        <v/>
      </c>
    </row>
    <row r="527" spans="1:16" x14ac:dyDescent="0.25">
      <c r="A527" t="s">
        <v>902</v>
      </c>
      <c r="B527">
        <v>439</v>
      </c>
      <c r="C527" t="s">
        <v>903</v>
      </c>
      <c r="D527">
        <v>-0.48</v>
      </c>
      <c r="F527">
        <v>0</v>
      </c>
      <c r="H527">
        <v>0</v>
      </c>
      <c r="J527">
        <v>-0.48</v>
      </c>
      <c r="L527" s="1">
        <f t="shared" si="8"/>
        <v>-0.48</v>
      </c>
      <c r="N527" s="6" t="str">
        <f>IF(ISERROR(VLOOKUP($A527,'Plano de Contas'!#REF!,8,FALSE)),"",VLOOKUP($A527,'Plano de Contas'!#REF!,8,FALSE))</f>
        <v/>
      </c>
      <c r="P527" s="6" t="str">
        <f>IF(ISERROR(VLOOKUP($A527,'Plano de Contas'!#REF!,10,FALSE)),"",VLOOKUP($A527,'Plano de Contas'!#REF!,10,FALSE))</f>
        <v/>
      </c>
    </row>
    <row r="528" spans="1:16" x14ac:dyDescent="0.25">
      <c r="A528" t="s">
        <v>904</v>
      </c>
      <c r="B528">
        <v>551</v>
      </c>
      <c r="C528" t="s">
        <v>905</v>
      </c>
      <c r="D528" s="10">
        <v>320873.74</v>
      </c>
      <c r="F528" s="10">
        <v>29170.34</v>
      </c>
      <c r="H528">
        <v>0</v>
      </c>
      <c r="J528" s="10">
        <v>350044.08</v>
      </c>
      <c r="L528" s="1">
        <f t="shared" si="8"/>
        <v>350044.08</v>
      </c>
      <c r="N528" s="6" t="str">
        <f>IF(ISERROR(VLOOKUP($A528,'Plano de Contas'!#REF!,8,FALSE)),"",VLOOKUP($A528,'Plano de Contas'!#REF!,8,FALSE))</f>
        <v/>
      </c>
      <c r="P528" s="6" t="str">
        <f>IF(ISERROR(VLOOKUP($A528,'Plano de Contas'!#REF!,10,FALSE)),"",VLOOKUP($A528,'Plano de Contas'!#REF!,10,FALSE))</f>
        <v/>
      </c>
    </row>
    <row r="529" spans="1:16" x14ac:dyDescent="0.25">
      <c r="A529" t="s">
        <v>906</v>
      </c>
      <c r="B529">
        <v>560</v>
      </c>
      <c r="C529" t="s">
        <v>907</v>
      </c>
      <c r="D529" s="10">
        <v>174915.76</v>
      </c>
      <c r="F529" s="10">
        <v>12743.19</v>
      </c>
      <c r="H529">
        <v>-992.19</v>
      </c>
      <c r="J529" s="10">
        <v>186666.76</v>
      </c>
      <c r="L529" s="1">
        <f t="shared" si="8"/>
        <v>186666.76</v>
      </c>
      <c r="N529" s="6" t="str">
        <f>IF(ISERROR(VLOOKUP($A529,'Plano de Contas'!#REF!,8,FALSE)),"",VLOOKUP($A529,'Plano de Contas'!#REF!,8,FALSE))</f>
        <v/>
      </c>
      <c r="P529" s="6" t="str">
        <f>IF(ISERROR(VLOOKUP($A529,'Plano de Contas'!#REF!,10,FALSE)),"",VLOOKUP($A529,'Plano de Contas'!#REF!,10,FALSE))</f>
        <v/>
      </c>
    </row>
    <row r="530" spans="1:16" x14ac:dyDescent="0.25">
      <c r="A530" t="s">
        <v>908</v>
      </c>
      <c r="B530">
        <v>592</v>
      </c>
      <c r="C530" t="s">
        <v>909</v>
      </c>
      <c r="D530" s="10">
        <v>68685</v>
      </c>
      <c r="F530">
        <v>0</v>
      </c>
      <c r="H530">
        <v>0</v>
      </c>
      <c r="J530" s="10">
        <v>68685</v>
      </c>
      <c r="L530" s="1">
        <f t="shared" si="8"/>
        <v>68685</v>
      </c>
      <c r="N530" s="6" t="str">
        <f>IF(ISERROR(VLOOKUP($A530,'Plano de Contas'!#REF!,8,FALSE)),"",VLOOKUP($A530,'Plano de Contas'!#REF!,8,FALSE))</f>
        <v/>
      </c>
      <c r="P530" s="6" t="str">
        <f>IF(ISERROR(VLOOKUP($A530,'Plano de Contas'!#REF!,10,FALSE)),"",VLOOKUP($A530,'Plano de Contas'!#REF!,10,FALSE))</f>
        <v/>
      </c>
    </row>
    <row r="531" spans="1:16" x14ac:dyDescent="0.25">
      <c r="A531" t="s">
        <v>910</v>
      </c>
      <c r="B531">
        <v>721</v>
      </c>
      <c r="C531" t="s">
        <v>911</v>
      </c>
      <c r="D531" s="10">
        <v>134383.76999999999</v>
      </c>
      <c r="F531" s="10">
        <v>10390.48</v>
      </c>
      <c r="H531">
        <v>0</v>
      </c>
      <c r="J531" s="10">
        <v>144774.25</v>
      </c>
      <c r="L531" s="1">
        <f t="shared" si="8"/>
        <v>144774.25</v>
      </c>
      <c r="N531" s="6" t="str">
        <f>IF(ISERROR(VLOOKUP($A531,'Plano de Contas'!#REF!,8,FALSE)),"",VLOOKUP($A531,'Plano de Contas'!#REF!,8,FALSE))</f>
        <v/>
      </c>
      <c r="P531" s="6" t="str">
        <f>IF(ISERROR(VLOOKUP($A531,'Plano de Contas'!#REF!,10,FALSE)),"",VLOOKUP($A531,'Plano de Contas'!#REF!,10,FALSE))</f>
        <v/>
      </c>
    </row>
    <row r="532" spans="1:16" x14ac:dyDescent="0.25">
      <c r="A532" t="s">
        <v>1474</v>
      </c>
      <c r="B532">
        <v>834</v>
      </c>
      <c r="C532" t="s">
        <v>1475</v>
      </c>
      <c r="D532" s="10">
        <v>17287.259999999998</v>
      </c>
      <c r="F532">
        <v>0</v>
      </c>
      <c r="H532">
        <v>0</v>
      </c>
      <c r="J532" s="10">
        <v>17287.259999999998</v>
      </c>
      <c r="L532" s="1">
        <f t="shared" si="8"/>
        <v>17287.259999999998</v>
      </c>
      <c r="N532" s="6" t="str">
        <f>IF(ISERROR(VLOOKUP($A532,'Plano de Contas'!#REF!,8,FALSE)),"",VLOOKUP($A532,'Plano de Contas'!#REF!,8,FALSE))</f>
        <v/>
      </c>
      <c r="P532" s="6" t="str">
        <f>IF(ISERROR(VLOOKUP($A532,'Plano de Contas'!#REF!,10,FALSE)),"",VLOOKUP($A532,'Plano de Contas'!#REF!,10,FALSE))</f>
        <v/>
      </c>
    </row>
    <row r="533" spans="1:16" x14ac:dyDescent="0.25">
      <c r="A533" t="s">
        <v>912</v>
      </c>
      <c r="B533">
        <v>912</v>
      </c>
      <c r="C533" t="s">
        <v>913</v>
      </c>
      <c r="D533" s="10">
        <v>1213597.6399999999</v>
      </c>
      <c r="F533" s="10">
        <v>21579.27</v>
      </c>
      <c r="H533">
        <v>0</v>
      </c>
      <c r="J533" s="10">
        <v>1235176.9099999999</v>
      </c>
      <c r="L533" s="1">
        <f t="shared" si="8"/>
        <v>1235176.9099999999</v>
      </c>
      <c r="N533" s="6" t="str">
        <f>IF(ISERROR(VLOOKUP($A533,'Plano de Contas'!#REF!,8,FALSE)),"",VLOOKUP($A533,'Plano de Contas'!#REF!,8,FALSE))</f>
        <v/>
      </c>
      <c r="P533" s="6" t="str">
        <f>IF(ISERROR(VLOOKUP($A533,'Plano de Contas'!#REF!,10,FALSE)),"",VLOOKUP($A533,'Plano de Contas'!#REF!,10,FALSE))</f>
        <v/>
      </c>
    </row>
    <row r="534" spans="1:16" x14ac:dyDescent="0.25">
      <c r="A534" t="s">
        <v>1068</v>
      </c>
      <c r="B534">
        <v>450</v>
      </c>
      <c r="C534" t="s">
        <v>1069</v>
      </c>
      <c r="D534">
        <v>0</v>
      </c>
      <c r="F534" s="10">
        <v>600082.23</v>
      </c>
      <c r="H534">
        <v>0</v>
      </c>
      <c r="J534" s="10">
        <v>600082.23</v>
      </c>
      <c r="L534" s="1">
        <f t="shared" si="8"/>
        <v>600082.23</v>
      </c>
      <c r="N534" s="6" t="str">
        <f>IF(ISERROR(VLOOKUP($A534,'Plano de Contas'!#REF!,8,FALSE)),"",VLOOKUP($A534,'Plano de Contas'!#REF!,8,FALSE))</f>
        <v/>
      </c>
      <c r="P534" s="6" t="str">
        <f>IF(ISERROR(VLOOKUP($A534,'Plano de Contas'!#REF!,10,FALSE)),"",VLOOKUP($A534,'Plano de Contas'!#REF!,10,FALSE))</f>
        <v/>
      </c>
    </row>
    <row r="535" spans="1:16" x14ac:dyDescent="0.25">
      <c r="A535" t="s">
        <v>1227</v>
      </c>
      <c r="B535">
        <v>451</v>
      </c>
      <c r="C535" t="s">
        <v>1228</v>
      </c>
      <c r="D535">
        <v>0</v>
      </c>
      <c r="F535" s="10">
        <v>1920696.94</v>
      </c>
      <c r="H535">
        <v>0</v>
      </c>
      <c r="J535" s="10">
        <v>1920696.94</v>
      </c>
      <c r="L535" s="1">
        <f t="shared" si="8"/>
        <v>1920696.94</v>
      </c>
      <c r="N535" s="6" t="str">
        <f>IF(ISERROR(VLOOKUP($A535,'Plano de Contas'!#REF!,8,FALSE)),"",VLOOKUP($A535,'Plano de Contas'!#REF!,8,FALSE))</f>
        <v/>
      </c>
      <c r="P535" s="6" t="str">
        <f>IF(ISERROR(VLOOKUP($A535,'Plano de Contas'!#REF!,10,FALSE)),"",VLOOKUP($A535,'Plano de Contas'!#REF!,10,FALSE))</f>
        <v/>
      </c>
    </row>
    <row r="536" spans="1:16" x14ac:dyDescent="0.25">
      <c r="A536" t="s">
        <v>916</v>
      </c>
      <c r="B536">
        <v>467</v>
      </c>
      <c r="C536" t="s">
        <v>917</v>
      </c>
      <c r="D536" s="10">
        <v>343684</v>
      </c>
      <c r="F536" s="10">
        <v>59200</v>
      </c>
      <c r="H536">
        <v>0</v>
      </c>
      <c r="J536" s="10">
        <v>402884</v>
      </c>
      <c r="L536" s="1">
        <f t="shared" si="8"/>
        <v>402884</v>
      </c>
      <c r="N536" s="6" t="str">
        <f>IF(ISERROR(VLOOKUP($A536,'Plano de Contas'!#REF!,8,FALSE)),"",VLOOKUP($A536,'Plano de Contas'!#REF!,8,FALSE))</f>
        <v/>
      </c>
      <c r="P536" s="6" t="str">
        <f>IF(ISERROR(VLOOKUP($A536,'Plano de Contas'!#REF!,10,FALSE)),"",VLOOKUP($A536,'Plano de Contas'!#REF!,10,FALSE))</f>
        <v/>
      </c>
    </row>
    <row r="537" spans="1:16" x14ac:dyDescent="0.25">
      <c r="A537" t="s">
        <v>918</v>
      </c>
      <c r="B537">
        <v>490</v>
      </c>
      <c r="C537" t="s">
        <v>919</v>
      </c>
      <c r="D537" s="10">
        <v>-140535.1</v>
      </c>
      <c r="F537">
        <v>0</v>
      </c>
      <c r="H537" s="10">
        <v>-12575.86</v>
      </c>
      <c r="J537" s="10">
        <v>-153110.96</v>
      </c>
      <c r="L537" s="1">
        <f t="shared" si="8"/>
        <v>-153110.96</v>
      </c>
      <c r="N537" s="6" t="str">
        <f>IF(ISERROR(VLOOKUP($A537,'Plano de Contas'!#REF!,8,FALSE)),"",VLOOKUP($A537,'Plano de Contas'!#REF!,8,FALSE))</f>
        <v/>
      </c>
      <c r="P537" s="6" t="str">
        <f>IF(ISERROR(VLOOKUP($A537,'Plano de Contas'!#REF!,10,FALSE)),"",VLOOKUP($A537,'Plano de Contas'!#REF!,10,FALSE))</f>
        <v/>
      </c>
    </row>
    <row r="538" spans="1:16" x14ac:dyDescent="0.25">
      <c r="L538" s="1">
        <f t="shared" si="8"/>
        <v>0</v>
      </c>
      <c r="N538" s="6" t="str">
        <f>IF(ISERROR(VLOOKUP($A538,'Plano de Contas'!#REF!,8,FALSE)),"",VLOOKUP($A538,'Plano de Contas'!#REF!,8,FALSE))</f>
        <v/>
      </c>
      <c r="P538" s="6" t="str">
        <f>IF(ISERROR(VLOOKUP($A538,'Plano de Contas'!#REF!,10,FALSE)),"",VLOOKUP($A538,'Plano de Contas'!#REF!,10,FALSE))</f>
        <v/>
      </c>
    </row>
    <row r="539" spans="1:16" x14ac:dyDescent="0.25">
      <c r="A539" t="s">
        <v>920</v>
      </c>
      <c r="B539">
        <v>277</v>
      </c>
      <c r="C539" t="s">
        <v>921</v>
      </c>
      <c r="D539" s="10">
        <v>623415.48</v>
      </c>
      <c r="F539" s="10">
        <v>144325.72</v>
      </c>
      <c r="H539" s="10">
        <v>19176.32</v>
      </c>
      <c r="I539" t="s">
        <v>35</v>
      </c>
      <c r="J539" s="10">
        <v>748564.88</v>
      </c>
      <c r="L539" s="1">
        <f t="shared" si="8"/>
        <v>748564.88</v>
      </c>
      <c r="N539" s="6" t="str">
        <f>IF(ISERROR(VLOOKUP($A539,'Plano de Contas'!#REF!,8,FALSE)),"",VLOOKUP($A539,'Plano de Contas'!#REF!,8,FALSE))</f>
        <v/>
      </c>
      <c r="P539" s="6" t="str">
        <f>IF(ISERROR(VLOOKUP($A539,'Plano de Contas'!#REF!,10,FALSE)),"",VLOOKUP($A539,'Plano de Contas'!#REF!,10,FALSE))</f>
        <v/>
      </c>
    </row>
    <row r="540" spans="1:16" x14ac:dyDescent="0.25">
      <c r="A540" t="s">
        <v>922</v>
      </c>
      <c r="B540">
        <v>281</v>
      </c>
      <c r="C540" t="s">
        <v>923</v>
      </c>
      <c r="D540" s="10">
        <v>213457.59</v>
      </c>
      <c r="F540">
        <v>0</v>
      </c>
      <c r="H540" s="10">
        <v>19176.32</v>
      </c>
      <c r="I540" t="s">
        <v>35</v>
      </c>
      <c r="J540" s="10">
        <v>194281.27</v>
      </c>
      <c r="L540" s="1">
        <f t="shared" si="8"/>
        <v>194281.27</v>
      </c>
      <c r="N540" s="6" t="str">
        <f>IF(ISERROR(VLOOKUP($A540,'Plano de Contas'!#REF!,8,FALSE)),"",VLOOKUP($A540,'Plano de Contas'!#REF!,8,FALSE))</f>
        <v/>
      </c>
      <c r="P540" s="6" t="str">
        <f>IF(ISERROR(VLOOKUP($A540,'Plano de Contas'!#REF!,10,FALSE)),"",VLOOKUP($A540,'Plano de Contas'!#REF!,10,FALSE))</f>
        <v/>
      </c>
    </row>
    <row r="541" spans="1:16" x14ac:dyDescent="0.25">
      <c r="A541" t="s">
        <v>924</v>
      </c>
      <c r="B541">
        <v>282</v>
      </c>
      <c r="C541" t="s">
        <v>925</v>
      </c>
      <c r="D541" s="10">
        <v>60715.89</v>
      </c>
      <c r="F541" s="10">
        <v>143480.95000000001</v>
      </c>
      <c r="H541">
        <v>0</v>
      </c>
      <c r="J541" s="10">
        <v>204196.84</v>
      </c>
      <c r="L541" s="1">
        <f t="shared" si="8"/>
        <v>204196.84</v>
      </c>
      <c r="N541" s="6" t="str">
        <f>IF(ISERROR(VLOOKUP($A541,'Plano de Contas'!#REF!,8,FALSE)),"",VLOOKUP($A541,'Plano de Contas'!#REF!,8,FALSE))</f>
        <v/>
      </c>
      <c r="P541" s="6" t="str">
        <f>IF(ISERROR(VLOOKUP($A541,'Plano de Contas'!#REF!,10,FALSE)),"",VLOOKUP($A541,'Plano de Contas'!#REF!,10,FALSE))</f>
        <v/>
      </c>
    </row>
    <row r="542" spans="1:16" x14ac:dyDescent="0.25">
      <c r="A542" t="s">
        <v>928</v>
      </c>
      <c r="B542">
        <v>700</v>
      </c>
      <c r="C542" t="s">
        <v>929</v>
      </c>
      <c r="D542" s="10">
        <v>62286.720000000001</v>
      </c>
      <c r="F542">
        <v>150.69</v>
      </c>
      <c r="H542">
        <v>0</v>
      </c>
      <c r="J542" s="10">
        <v>62437.41</v>
      </c>
      <c r="L542" s="1">
        <f t="shared" si="8"/>
        <v>62437.41</v>
      </c>
      <c r="N542" s="6" t="str">
        <f>IF(ISERROR(VLOOKUP($A542,'Plano de Contas'!#REF!,8,FALSE)),"",VLOOKUP($A542,'Plano de Contas'!#REF!,8,FALSE))</f>
        <v/>
      </c>
      <c r="P542" s="6" t="str">
        <f>IF(ISERROR(VLOOKUP($A542,'Plano de Contas'!#REF!,10,FALSE)),"",VLOOKUP($A542,'Plano de Contas'!#REF!,10,FALSE))</f>
        <v/>
      </c>
    </row>
    <row r="543" spans="1:16" x14ac:dyDescent="0.25">
      <c r="A543" t="s">
        <v>930</v>
      </c>
      <c r="B543">
        <v>701</v>
      </c>
      <c r="C543" t="s">
        <v>554</v>
      </c>
      <c r="D543" s="10">
        <v>286955.28000000003</v>
      </c>
      <c r="F543">
        <v>694.08</v>
      </c>
      <c r="H543">
        <v>0</v>
      </c>
      <c r="J543" s="10">
        <v>287649.36</v>
      </c>
      <c r="L543" s="1">
        <f t="shared" si="8"/>
        <v>287649.36</v>
      </c>
      <c r="N543" s="6" t="str">
        <f>IF(ISERROR(VLOOKUP($A543,'Plano de Contas'!#REF!,8,FALSE)),"",VLOOKUP($A543,'Plano de Contas'!#REF!,8,FALSE))</f>
        <v/>
      </c>
      <c r="P543" s="6" t="str">
        <f>IF(ISERROR(VLOOKUP($A543,'Plano de Contas'!#REF!,10,FALSE)),"",VLOOKUP($A543,'Plano de Contas'!#REF!,10,FALSE))</f>
        <v/>
      </c>
    </row>
    <row r="544" spans="1:16" x14ac:dyDescent="0.25">
      <c r="L544" s="1">
        <f t="shared" si="8"/>
        <v>0</v>
      </c>
      <c r="N544" s="6" t="str">
        <f>IF(ISERROR(VLOOKUP($A544,'Plano de Contas'!#REF!,8,FALSE)),"",VLOOKUP($A544,'Plano de Contas'!#REF!,8,FALSE))</f>
        <v/>
      </c>
      <c r="P544" s="6" t="str">
        <f>IF(ISERROR(VLOOKUP($A544,'Plano de Contas'!#REF!,10,FALSE)),"",VLOOKUP($A544,'Plano de Contas'!#REF!,10,FALSE))</f>
        <v/>
      </c>
    </row>
    <row r="545" spans="1:16" x14ac:dyDescent="0.25">
      <c r="A545" t="s">
        <v>931</v>
      </c>
      <c r="B545">
        <v>733</v>
      </c>
      <c r="C545" t="s">
        <v>932</v>
      </c>
      <c r="D545" s="10">
        <v>14105252.92</v>
      </c>
      <c r="E545" t="s">
        <v>35</v>
      </c>
      <c r="F545">
        <v>0</v>
      </c>
      <c r="H545" s="10">
        <v>1918905.72</v>
      </c>
      <c r="I545" t="s">
        <v>35</v>
      </c>
      <c r="J545" s="10">
        <v>16024158.640000001</v>
      </c>
      <c r="K545" t="s">
        <v>35</v>
      </c>
      <c r="L545" s="1">
        <f t="shared" si="8"/>
        <v>-16024158.640000001</v>
      </c>
      <c r="N545" s="6" t="str">
        <f>IF(ISERROR(VLOOKUP($A545,'Plano de Contas'!#REF!,8,FALSE)),"",VLOOKUP($A545,'Plano de Contas'!#REF!,8,FALSE))</f>
        <v/>
      </c>
      <c r="P545" s="6" t="str">
        <f>IF(ISERROR(VLOOKUP($A545,'Plano de Contas'!#REF!,10,FALSE)),"",VLOOKUP($A545,'Plano de Contas'!#REF!,10,FALSE))</f>
        <v/>
      </c>
    </row>
    <row r="546" spans="1:16" x14ac:dyDescent="0.25">
      <c r="A546" t="s">
        <v>933</v>
      </c>
      <c r="B546">
        <v>880</v>
      </c>
      <c r="C546" t="s">
        <v>934</v>
      </c>
      <c r="D546" s="10">
        <v>-10329275.199999999</v>
      </c>
      <c r="F546">
        <v>0</v>
      </c>
      <c r="H546" s="10">
        <v>-1909782.4</v>
      </c>
      <c r="J546" s="10">
        <v>-12239057.6</v>
      </c>
      <c r="L546" s="1">
        <f t="shared" si="8"/>
        <v>-12239057.6</v>
      </c>
      <c r="N546" s="6" t="str">
        <f>IF(ISERROR(VLOOKUP($A546,'Plano de Contas'!#REF!,8,FALSE)),"",VLOOKUP($A546,'Plano de Contas'!#REF!,8,FALSE))</f>
        <v/>
      </c>
      <c r="P546" s="6" t="str">
        <f>IF(ISERROR(VLOOKUP($A546,'Plano de Contas'!#REF!,10,FALSE)),"",VLOOKUP($A546,'Plano de Contas'!#REF!,10,FALSE))</f>
        <v/>
      </c>
    </row>
    <row r="547" spans="1:16" x14ac:dyDescent="0.25">
      <c r="A547" t="s">
        <v>935</v>
      </c>
      <c r="B547">
        <v>881</v>
      </c>
      <c r="C547" t="s">
        <v>936</v>
      </c>
      <c r="D547" s="10">
        <v>256807.72</v>
      </c>
      <c r="E547" t="s">
        <v>35</v>
      </c>
      <c r="F547">
        <v>0</v>
      </c>
      <c r="H547" s="10">
        <v>9123.32</v>
      </c>
      <c r="I547" t="s">
        <v>35</v>
      </c>
      <c r="J547" s="10">
        <v>265931.03999999998</v>
      </c>
      <c r="K547" t="s">
        <v>35</v>
      </c>
      <c r="L547" s="1">
        <f t="shared" si="8"/>
        <v>-265931.03999999998</v>
      </c>
      <c r="N547" s="6" t="str">
        <f>IF(ISERROR(VLOOKUP($A547,'Plano de Contas'!#REF!,8,FALSE)),"",VLOOKUP($A547,'Plano de Contas'!#REF!,8,FALSE))</f>
        <v/>
      </c>
      <c r="P547" s="6" t="str">
        <f>IF(ISERROR(VLOOKUP($A547,'Plano de Contas'!#REF!,10,FALSE)),"",VLOOKUP($A547,'Plano de Contas'!#REF!,10,FALSE))</f>
        <v/>
      </c>
    </row>
    <row r="548" spans="1:16" x14ac:dyDescent="0.25">
      <c r="A548" t="s">
        <v>1476</v>
      </c>
      <c r="B548">
        <v>908</v>
      </c>
      <c r="C548" t="s">
        <v>1477</v>
      </c>
      <c r="D548" s="10">
        <v>3519170</v>
      </c>
      <c r="E548" t="s">
        <v>35</v>
      </c>
      <c r="F548">
        <v>0</v>
      </c>
      <c r="H548">
        <v>0</v>
      </c>
      <c r="J548" s="10">
        <v>3519170</v>
      </c>
      <c r="K548" t="s">
        <v>35</v>
      </c>
      <c r="L548" s="1">
        <f t="shared" si="8"/>
        <v>-3519170</v>
      </c>
      <c r="N548" s="6" t="str">
        <f>IF(ISERROR(VLOOKUP($A548,'Plano de Contas'!#REF!,8,FALSE)),"",VLOOKUP($A548,'Plano de Contas'!#REF!,8,FALSE))</f>
        <v/>
      </c>
      <c r="P548" s="6" t="str">
        <f>IF(ISERROR(VLOOKUP($A548,'Plano de Contas'!#REF!,10,FALSE)),"",VLOOKUP($A548,'Plano de Contas'!#REF!,10,FALSE))</f>
        <v/>
      </c>
    </row>
    <row r="549" spans="1:16" x14ac:dyDescent="0.25">
      <c r="L549" s="1">
        <f t="shared" si="8"/>
        <v>0</v>
      </c>
      <c r="N549" s="6" t="str">
        <f>IF(ISERROR(VLOOKUP($A549,'Plano de Contas'!#REF!,8,FALSE)),"",VLOOKUP($A549,'Plano de Contas'!#REF!,8,FALSE))</f>
        <v/>
      </c>
      <c r="P549" s="6" t="str">
        <f>IF(ISERROR(VLOOKUP($A549,'Plano de Contas'!#REF!,10,FALSE)),"",VLOOKUP($A549,'Plano de Contas'!#REF!,10,FALSE))</f>
        <v/>
      </c>
    </row>
    <row r="550" spans="1:16" x14ac:dyDescent="0.25">
      <c r="A550" t="s">
        <v>937</v>
      </c>
      <c r="B550">
        <v>285</v>
      </c>
      <c r="C550" t="s">
        <v>938</v>
      </c>
      <c r="D550" s="10">
        <v>561984.15</v>
      </c>
      <c r="E550" t="s">
        <v>35</v>
      </c>
      <c r="F550" s="10">
        <v>195351.66</v>
      </c>
      <c r="H550" s="10">
        <v>482913.37</v>
      </c>
      <c r="I550" t="s">
        <v>35</v>
      </c>
      <c r="J550" s="10">
        <v>849545.86</v>
      </c>
      <c r="K550" t="s">
        <v>35</v>
      </c>
      <c r="L550" s="1">
        <f t="shared" si="8"/>
        <v>-849545.86</v>
      </c>
      <c r="N550" s="6" t="str">
        <f>IF(ISERROR(VLOOKUP($A550,'Plano de Contas'!#REF!,8,FALSE)),"",VLOOKUP($A550,'Plano de Contas'!#REF!,8,FALSE))</f>
        <v/>
      </c>
      <c r="P550" s="6" t="str">
        <f>IF(ISERROR(VLOOKUP($A550,'Plano de Contas'!#REF!,10,FALSE)),"",VLOOKUP($A550,'Plano de Contas'!#REF!,10,FALSE))</f>
        <v/>
      </c>
    </row>
    <row r="551" spans="1:16" x14ac:dyDescent="0.25">
      <c r="L551" s="1">
        <f t="shared" si="8"/>
        <v>0</v>
      </c>
      <c r="N551" s="6" t="str">
        <f>IF(ISERROR(VLOOKUP($A551,'Plano de Contas'!#REF!,8,FALSE)),"",VLOOKUP($A551,'Plano de Contas'!#REF!,8,FALSE))</f>
        <v/>
      </c>
      <c r="P551" s="6" t="str">
        <f>IF(ISERROR(VLOOKUP($A551,'Plano de Contas'!#REF!,10,FALSE)),"",VLOOKUP($A551,'Plano de Contas'!#REF!,10,FALSE))</f>
        <v/>
      </c>
    </row>
    <row r="552" spans="1:16" x14ac:dyDescent="0.25">
      <c r="A552" t="s">
        <v>939</v>
      </c>
      <c r="B552">
        <v>286</v>
      </c>
      <c r="C552" t="s">
        <v>940</v>
      </c>
      <c r="D552" s="10">
        <v>3368529.85</v>
      </c>
      <c r="E552" t="s">
        <v>35</v>
      </c>
      <c r="F552">
        <v>0</v>
      </c>
      <c r="H552" s="10">
        <v>482878.05</v>
      </c>
      <c r="I552" t="s">
        <v>35</v>
      </c>
      <c r="J552" s="10">
        <v>3851407.9</v>
      </c>
      <c r="K552" t="s">
        <v>35</v>
      </c>
      <c r="L552" s="1">
        <f t="shared" si="8"/>
        <v>-3851407.9</v>
      </c>
      <c r="N552" s="6" t="str">
        <f>IF(ISERROR(VLOOKUP($A552,'Plano de Contas'!#REF!,8,FALSE)),"",VLOOKUP($A552,'Plano de Contas'!#REF!,8,FALSE))</f>
        <v/>
      </c>
      <c r="P552" s="6" t="str">
        <f>IF(ISERROR(VLOOKUP($A552,'Plano de Contas'!#REF!,10,FALSE)),"",VLOOKUP($A552,'Plano de Contas'!#REF!,10,FALSE))</f>
        <v/>
      </c>
    </row>
    <row r="553" spans="1:16" x14ac:dyDescent="0.25">
      <c r="L553" s="1">
        <f t="shared" si="8"/>
        <v>0</v>
      </c>
      <c r="N553" s="6" t="str">
        <f>IF(ISERROR(VLOOKUP($A553,'Plano de Contas'!#REF!,8,FALSE)),"",VLOOKUP($A553,'Plano de Contas'!#REF!,8,FALSE))</f>
        <v/>
      </c>
      <c r="P553" s="6" t="str">
        <f>IF(ISERROR(VLOOKUP($A553,'Plano de Contas'!#REF!,10,FALSE)),"",VLOOKUP($A553,'Plano de Contas'!#REF!,10,FALSE))</f>
        <v/>
      </c>
    </row>
    <row r="554" spans="1:16" x14ac:dyDescent="0.25">
      <c r="A554" t="s">
        <v>941</v>
      </c>
      <c r="B554">
        <v>287</v>
      </c>
      <c r="C554" t="s">
        <v>942</v>
      </c>
      <c r="D554" s="10">
        <v>3368529.85</v>
      </c>
      <c r="E554" t="s">
        <v>35</v>
      </c>
      <c r="F554">
        <v>0</v>
      </c>
      <c r="H554" s="10">
        <v>482878.05</v>
      </c>
      <c r="I554" t="s">
        <v>35</v>
      </c>
      <c r="J554" s="10">
        <v>3851407.9</v>
      </c>
      <c r="K554" t="s">
        <v>35</v>
      </c>
      <c r="L554" s="1">
        <f t="shared" si="8"/>
        <v>-3851407.9</v>
      </c>
      <c r="N554" s="6" t="str">
        <f>IF(ISERROR(VLOOKUP($A554,'Plano de Contas'!#REF!,8,FALSE)),"",VLOOKUP($A554,'Plano de Contas'!#REF!,8,FALSE))</f>
        <v/>
      </c>
      <c r="P554" s="6" t="str">
        <f>IF(ISERROR(VLOOKUP($A554,'Plano de Contas'!#REF!,10,FALSE)),"",VLOOKUP($A554,'Plano de Contas'!#REF!,10,FALSE))</f>
        <v/>
      </c>
    </row>
    <row r="555" spans="1:16" x14ac:dyDescent="0.25">
      <c r="A555" t="s">
        <v>943</v>
      </c>
      <c r="B555">
        <v>288</v>
      </c>
      <c r="C555" t="s">
        <v>944</v>
      </c>
      <c r="D555" s="10">
        <v>-2910294.68</v>
      </c>
      <c r="F555">
        <v>0</v>
      </c>
      <c r="H555" s="10">
        <v>-215784.55</v>
      </c>
      <c r="J555" s="10">
        <v>-3126079.23</v>
      </c>
      <c r="L555" s="1">
        <f t="shared" si="8"/>
        <v>-3126079.23</v>
      </c>
      <c r="N555" s="6" t="str">
        <f>IF(ISERROR(VLOOKUP($A555,'Plano de Contas'!#REF!,8,FALSE)),"",VLOOKUP($A555,'Plano de Contas'!#REF!,8,FALSE))</f>
        <v/>
      </c>
      <c r="P555" s="6" t="str">
        <f>IF(ISERROR(VLOOKUP($A555,'Plano de Contas'!#REF!,10,FALSE)),"",VLOOKUP($A555,'Plano de Contas'!#REF!,10,FALSE))</f>
        <v/>
      </c>
    </row>
    <row r="556" spans="1:16" x14ac:dyDescent="0.25">
      <c r="A556" t="s">
        <v>945</v>
      </c>
      <c r="B556">
        <v>289</v>
      </c>
      <c r="C556" t="s">
        <v>946</v>
      </c>
      <c r="D556" s="10">
        <v>7211.16</v>
      </c>
      <c r="E556" t="s">
        <v>35</v>
      </c>
      <c r="F556">
        <v>0</v>
      </c>
      <c r="H556">
        <v>440.87</v>
      </c>
      <c r="I556" t="s">
        <v>35</v>
      </c>
      <c r="J556" s="10">
        <v>7652.03</v>
      </c>
      <c r="K556" t="s">
        <v>35</v>
      </c>
      <c r="L556" s="1">
        <f t="shared" si="8"/>
        <v>-7652.03</v>
      </c>
      <c r="N556" s="6" t="str">
        <f>IF(ISERROR(VLOOKUP($A556,'Plano de Contas'!#REF!,8,FALSE)),"",VLOOKUP($A556,'Plano de Contas'!#REF!,8,FALSE))</f>
        <v/>
      </c>
      <c r="P556" s="6" t="str">
        <f>IF(ISERROR(VLOOKUP($A556,'Plano de Contas'!#REF!,10,FALSE)),"",VLOOKUP($A556,'Plano de Contas'!#REF!,10,FALSE))</f>
        <v/>
      </c>
    </row>
    <row r="557" spans="1:16" x14ac:dyDescent="0.25">
      <c r="A557" t="s">
        <v>947</v>
      </c>
      <c r="B557">
        <v>290</v>
      </c>
      <c r="C557" t="s">
        <v>948</v>
      </c>
      <c r="D557" s="10">
        <v>298335.52</v>
      </c>
      <c r="E557" t="s">
        <v>35</v>
      </c>
      <c r="F557">
        <v>0</v>
      </c>
      <c r="H557" s="10">
        <v>26477.4</v>
      </c>
      <c r="I557" t="s">
        <v>35</v>
      </c>
      <c r="J557" s="10">
        <v>324812.92</v>
      </c>
      <c r="K557" t="s">
        <v>35</v>
      </c>
      <c r="L557" s="1">
        <f t="shared" si="8"/>
        <v>-324812.92</v>
      </c>
      <c r="N557" s="6" t="str">
        <f>IF(ISERROR(VLOOKUP($A557,'Plano de Contas'!#REF!,8,FALSE)),"",VLOOKUP($A557,'Plano de Contas'!#REF!,8,FALSE))</f>
        <v/>
      </c>
      <c r="P557" s="6" t="str">
        <f>IF(ISERROR(VLOOKUP($A557,'Plano de Contas'!#REF!,10,FALSE)),"",VLOOKUP($A557,'Plano de Contas'!#REF!,10,FALSE))</f>
        <v/>
      </c>
    </row>
    <row r="558" spans="1:16" x14ac:dyDescent="0.25">
      <c r="A558" t="s">
        <v>949</v>
      </c>
      <c r="B558">
        <v>291</v>
      </c>
      <c r="C558" t="s">
        <v>950</v>
      </c>
      <c r="D558" s="10">
        <v>1049.44</v>
      </c>
      <c r="E558" t="s">
        <v>35</v>
      </c>
      <c r="F558">
        <v>0</v>
      </c>
      <c r="H558">
        <v>0</v>
      </c>
      <c r="J558" s="10">
        <v>1049.44</v>
      </c>
      <c r="K558" t="s">
        <v>35</v>
      </c>
      <c r="L558" s="1">
        <f t="shared" si="8"/>
        <v>-1049.44</v>
      </c>
      <c r="N558" s="6" t="str">
        <f>IF(ISERROR(VLOOKUP($A558,'Plano de Contas'!#REF!,8,FALSE)),"",VLOOKUP($A558,'Plano de Contas'!#REF!,8,FALSE))</f>
        <v/>
      </c>
      <c r="P558" s="6" t="str">
        <f>IF(ISERROR(VLOOKUP($A558,'Plano de Contas'!#REF!,10,FALSE)),"",VLOOKUP($A558,'Plano de Contas'!#REF!,10,FALSE))</f>
        <v/>
      </c>
    </row>
    <row r="559" spans="1:16" x14ac:dyDescent="0.25">
      <c r="A559" t="s">
        <v>951</v>
      </c>
      <c r="B559">
        <v>329</v>
      </c>
      <c r="C559" t="s">
        <v>952</v>
      </c>
      <c r="D559" s="10">
        <v>151639.04999999999</v>
      </c>
      <c r="E559" t="s">
        <v>35</v>
      </c>
      <c r="F559">
        <v>0</v>
      </c>
      <c r="H559" s="10">
        <v>240175.23</v>
      </c>
      <c r="I559" t="s">
        <v>35</v>
      </c>
      <c r="J559" s="10">
        <v>391814.28</v>
      </c>
      <c r="K559" t="s">
        <v>35</v>
      </c>
      <c r="L559" s="1">
        <f t="shared" si="8"/>
        <v>-391814.28</v>
      </c>
      <c r="N559" s="6" t="str">
        <f>IF(ISERROR(VLOOKUP($A559,'Plano de Contas'!#REF!,8,FALSE)),"",VLOOKUP($A559,'Plano de Contas'!#REF!,8,FALSE))</f>
        <v/>
      </c>
      <c r="P559" s="6" t="str">
        <f>IF(ISERROR(VLOOKUP($A559,'Plano de Contas'!#REF!,10,FALSE)),"",VLOOKUP($A559,'Plano de Contas'!#REF!,10,FALSE))</f>
        <v/>
      </c>
    </row>
    <row r="560" spans="1:16" x14ac:dyDescent="0.25">
      <c r="L560" s="1">
        <f t="shared" si="8"/>
        <v>0</v>
      </c>
      <c r="N560" s="6" t="str">
        <f>IF(ISERROR(VLOOKUP($A560,'Plano de Contas'!#REF!,8,FALSE)),"",VLOOKUP($A560,'Plano de Contas'!#REF!,8,FALSE))</f>
        <v/>
      </c>
      <c r="P560" s="6" t="str">
        <f>IF(ISERROR(VLOOKUP($A560,'Plano de Contas'!#REF!,10,FALSE)),"",VLOOKUP($A560,'Plano de Contas'!#REF!,10,FALSE))</f>
        <v/>
      </c>
    </row>
    <row r="561" spans="1:16" x14ac:dyDescent="0.25">
      <c r="A561" t="s">
        <v>953</v>
      </c>
      <c r="B561">
        <v>292</v>
      </c>
      <c r="C561" t="s">
        <v>954</v>
      </c>
      <c r="D561" s="10">
        <v>2806545.7</v>
      </c>
      <c r="F561" s="10">
        <v>195351.66</v>
      </c>
      <c r="H561">
        <v>35.32</v>
      </c>
      <c r="I561" t="s">
        <v>35</v>
      </c>
      <c r="J561" s="10">
        <v>3001862.04</v>
      </c>
      <c r="L561" s="1">
        <f t="shared" si="8"/>
        <v>3001862.04</v>
      </c>
      <c r="N561" s="6" t="str">
        <f>IF(ISERROR(VLOOKUP($A561,'Plano de Contas'!#REF!,8,FALSE)),"",VLOOKUP($A561,'Plano de Contas'!#REF!,8,FALSE))</f>
        <v/>
      </c>
      <c r="P561" s="6" t="str">
        <f>IF(ISERROR(VLOOKUP($A561,'Plano de Contas'!#REF!,10,FALSE)),"",VLOOKUP($A561,'Plano de Contas'!#REF!,10,FALSE))</f>
        <v/>
      </c>
    </row>
    <row r="562" spans="1:16" x14ac:dyDescent="0.25">
      <c r="L562" s="1">
        <f t="shared" si="8"/>
        <v>0</v>
      </c>
      <c r="N562" s="6" t="str">
        <f>IF(ISERROR(VLOOKUP($A562,'Plano de Contas'!#REF!,8,FALSE)),"",VLOOKUP($A562,'Plano de Contas'!#REF!,8,FALSE))</f>
        <v/>
      </c>
      <c r="P562" s="6" t="str">
        <f>IF(ISERROR(VLOOKUP($A562,'Plano de Contas'!#REF!,10,FALSE)),"",VLOOKUP($A562,'Plano de Contas'!#REF!,10,FALSE))</f>
        <v/>
      </c>
    </row>
    <row r="563" spans="1:16" x14ac:dyDescent="0.25">
      <c r="A563" t="s">
        <v>955</v>
      </c>
      <c r="B563">
        <v>293</v>
      </c>
      <c r="C563" t="s">
        <v>956</v>
      </c>
      <c r="D563" s="10">
        <v>2806545.7</v>
      </c>
      <c r="F563" s="10">
        <v>195351.66</v>
      </c>
      <c r="H563">
        <v>35.32</v>
      </c>
      <c r="I563" t="s">
        <v>35</v>
      </c>
      <c r="J563" s="10">
        <v>3001862.04</v>
      </c>
      <c r="L563" s="1">
        <f t="shared" si="8"/>
        <v>3001862.04</v>
      </c>
      <c r="N563" s="6" t="str">
        <f>IF(ISERROR(VLOOKUP($A563,'Plano de Contas'!#REF!,8,FALSE)),"",VLOOKUP($A563,'Plano de Contas'!#REF!,8,FALSE))</f>
        <v/>
      </c>
      <c r="P563" s="6" t="str">
        <f>IF(ISERROR(VLOOKUP($A563,'Plano de Contas'!#REF!,10,FALSE)),"",VLOOKUP($A563,'Plano de Contas'!#REF!,10,FALSE))</f>
        <v/>
      </c>
    </row>
    <row r="564" spans="1:16" x14ac:dyDescent="0.25">
      <c r="A564" t="s">
        <v>957</v>
      </c>
      <c r="B564">
        <v>294</v>
      </c>
      <c r="C564" t="s">
        <v>958</v>
      </c>
      <c r="D564" s="10">
        <v>192116.04</v>
      </c>
      <c r="F564" s="10">
        <v>88235.9</v>
      </c>
      <c r="H564">
        <v>0</v>
      </c>
      <c r="J564" s="10">
        <v>280351.94</v>
      </c>
      <c r="L564" s="1">
        <f t="shared" si="8"/>
        <v>280351.94</v>
      </c>
      <c r="N564" s="6" t="str">
        <f>IF(ISERROR(VLOOKUP($A564,'Plano de Contas'!#REF!,8,FALSE)),"",VLOOKUP($A564,'Plano de Contas'!#REF!,8,FALSE))</f>
        <v/>
      </c>
      <c r="P564" s="6" t="str">
        <f>IF(ISERROR(VLOOKUP($A564,'Plano de Contas'!#REF!,10,FALSE)),"",VLOOKUP($A564,'Plano de Contas'!#REF!,10,FALSE))</f>
        <v/>
      </c>
    </row>
    <row r="565" spans="1:16" x14ac:dyDescent="0.25">
      <c r="A565" t="s">
        <v>959</v>
      </c>
      <c r="B565">
        <v>295</v>
      </c>
      <c r="C565" t="s">
        <v>960</v>
      </c>
      <c r="D565" s="10">
        <v>2141168.89</v>
      </c>
      <c r="F565">
        <v>0.04</v>
      </c>
      <c r="H565">
        <v>0</v>
      </c>
      <c r="J565" s="10">
        <v>2141168.9300000002</v>
      </c>
      <c r="L565" s="1">
        <f t="shared" si="8"/>
        <v>2141168.9300000002</v>
      </c>
      <c r="N565" s="6" t="str">
        <f>IF(ISERROR(VLOOKUP($A565,'Plano de Contas'!#REF!,8,FALSE)),"",VLOOKUP($A565,'Plano de Contas'!#REF!,8,FALSE))</f>
        <v/>
      </c>
      <c r="P565" s="6" t="str">
        <f>IF(ISERROR(VLOOKUP($A565,'Plano de Contas'!#REF!,10,FALSE)),"",VLOOKUP($A565,'Plano de Contas'!#REF!,10,FALSE))</f>
        <v/>
      </c>
    </row>
    <row r="566" spans="1:16" x14ac:dyDescent="0.25">
      <c r="A566" t="s">
        <v>961</v>
      </c>
      <c r="B566">
        <v>296</v>
      </c>
      <c r="C566" t="s">
        <v>962</v>
      </c>
      <c r="D566" s="10">
        <v>473260.77</v>
      </c>
      <c r="F566" s="10">
        <v>107115.72</v>
      </c>
      <c r="H566">
        <v>35.32</v>
      </c>
      <c r="I566" t="s">
        <v>35</v>
      </c>
      <c r="J566" s="10">
        <v>580341.17000000004</v>
      </c>
      <c r="L566" s="1">
        <f t="shared" si="8"/>
        <v>580341.17000000004</v>
      </c>
      <c r="N566" s="6" t="str">
        <f>IF(ISERROR(VLOOKUP($A566,'Plano de Contas'!#REF!,8,FALSE)),"",VLOOKUP($A566,'Plano de Contas'!#REF!,8,FALSE))</f>
        <v/>
      </c>
      <c r="P566" s="6" t="str">
        <f>IF(ISERROR(VLOOKUP($A566,'Plano de Contas'!#REF!,10,FALSE)),"",VLOOKUP($A566,'Plano de Contas'!#REF!,10,FALSE))</f>
        <v/>
      </c>
    </row>
    <row r="567" spans="1:16" x14ac:dyDescent="0.25">
      <c r="L567" s="1">
        <f t="shared" si="8"/>
        <v>0</v>
      </c>
      <c r="N567" s="6" t="str">
        <f>IF(ISERROR(VLOOKUP($A567,'Plano de Contas'!#REF!,8,FALSE)),"",VLOOKUP($A567,'Plano de Contas'!#REF!,8,FALSE))</f>
        <v/>
      </c>
      <c r="P567" s="6" t="str">
        <f>IF(ISERROR(VLOOKUP($A567,'Plano de Contas'!#REF!,10,FALSE)),"",VLOOKUP($A567,'Plano de Contas'!#REF!,10,FALSE))</f>
        <v/>
      </c>
    </row>
    <row r="568" spans="1:16" x14ac:dyDescent="0.25">
      <c r="A568">
        <v>4</v>
      </c>
      <c r="B568">
        <v>306</v>
      </c>
      <c r="C568" t="s">
        <v>963</v>
      </c>
      <c r="D568" s="10">
        <v>325942.09999999998</v>
      </c>
      <c r="F568">
        <v>0</v>
      </c>
      <c r="H568">
        <v>0</v>
      </c>
      <c r="J568" s="10">
        <v>325942.09999999998</v>
      </c>
      <c r="L568" s="1">
        <f t="shared" si="8"/>
        <v>325942.09999999998</v>
      </c>
      <c r="N568" s="6" t="str">
        <f>IF(ISERROR(VLOOKUP($A568,'Plano de Contas'!#REF!,8,FALSE)),"",VLOOKUP($A568,'Plano de Contas'!#REF!,8,FALSE))</f>
        <v/>
      </c>
      <c r="P568" s="6" t="str">
        <f>IF(ISERROR(VLOOKUP($A568,'Plano de Contas'!#REF!,10,FALSE)),"",VLOOKUP($A568,'Plano de Contas'!#REF!,10,FALSE))</f>
        <v/>
      </c>
    </row>
    <row r="569" spans="1:16" x14ac:dyDescent="0.25">
      <c r="L569" s="1">
        <f t="shared" si="8"/>
        <v>0</v>
      </c>
      <c r="N569" s="6" t="str">
        <f>IF(ISERROR(VLOOKUP($A569,'Plano de Contas'!#REF!,8,FALSE)),"",VLOOKUP($A569,'Plano de Contas'!#REF!,8,FALSE))</f>
        <v/>
      </c>
      <c r="P569" s="6" t="str">
        <f>IF(ISERROR(VLOOKUP($A569,'Plano de Contas'!#REF!,10,FALSE)),"",VLOOKUP($A569,'Plano de Contas'!#REF!,10,FALSE))</f>
        <v/>
      </c>
    </row>
    <row r="570" spans="1:16" x14ac:dyDescent="0.25">
      <c r="A570" t="s">
        <v>964</v>
      </c>
      <c r="B570">
        <v>307</v>
      </c>
      <c r="C570" t="s">
        <v>965</v>
      </c>
      <c r="D570" s="10">
        <v>325942.09999999998</v>
      </c>
      <c r="F570">
        <v>0</v>
      </c>
      <c r="H570">
        <v>0</v>
      </c>
      <c r="J570" s="10">
        <v>325942.09999999998</v>
      </c>
      <c r="L570" s="1">
        <f t="shared" si="8"/>
        <v>325942.09999999998</v>
      </c>
      <c r="N570" s="6" t="str">
        <f>IF(ISERROR(VLOOKUP($A570,'Plano de Contas'!#REF!,8,FALSE)),"",VLOOKUP($A570,'Plano de Contas'!#REF!,8,FALSE))</f>
        <v/>
      </c>
      <c r="P570" s="6" t="str">
        <f>IF(ISERROR(VLOOKUP($A570,'Plano de Contas'!#REF!,10,FALSE)),"",VLOOKUP($A570,'Plano de Contas'!#REF!,10,FALSE))</f>
        <v/>
      </c>
    </row>
    <row r="571" spans="1:16" x14ac:dyDescent="0.25">
      <c r="L571" s="1">
        <f t="shared" si="8"/>
        <v>0</v>
      </c>
      <c r="N571" s="6" t="str">
        <f>IF(ISERROR(VLOOKUP($A571,'Plano de Contas'!#REF!,8,FALSE)),"",VLOOKUP($A571,'Plano de Contas'!#REF!,8,FALSE))</f>
        <v/>
      </c>
      <c r="P571" s="6" t="str">
        <f>IF(ISERROR(VLOOKUP($A571,'Plano de Contas'!#REF!,10,FALSE)),"",VLOOKUP($A571,'Plano de Contas'!#REF!,10,FALSE))</f>
        <v/>
      </c>
    </row>
    <row r="572" spans="1:16" x14ac:dyDescent="0.25">
      <c r="A572" t="s">
        <v>966</v>
      </c>
      <c r="B572">
        <v>308</v>
      </c>
      <c r="C572" t="s">
        <v>967</v>
      </c>
      <c r="D572" s="10">
        <v>325942.09999999998</v>
      </c>
      <c r="F572">
        <v>0</v>
      </c>
      <c r="H572">
        <v>0</v>
      </c>
      <c r="J572" s="10">
        <v>325942.09999999998</v>
      </c>
      <c r="L572" s="1">
        <f t="shared" si="8"/>
        <v>325942.09999999998</v>
      </c>
      <c r="N572" s="6" t="str">
        <f>IF(ISERROR(VLOOKUP($A572,'Plano de Contas'!#REF!,8,FALSE)),"",VLOOKUP($A572,'Plano de Contas'!#REF!,8,FALSE))</f>
        <v/>
      </c>
      <c r="P572" s="6" t="str">
        <f>IF(ISERROR(VLOOKUP($A572,'Plano de Contas'!#REF!,10,FALSE)),"",VLOOKUP($A572,'Plano de Contas'!#REF!,10,FALSE))</f>
        <v/>
      </c>
    </row>
    <row r="573" spans="1:16" x14ac:dyDescent="0.25">
      <c r="L573" s="1">
        <f t="shared" si="8"/>
        <v>0</v>
      </c>
      <c r="N573" s="6" t="str">
        <f>IF(ISERROR(VLOOKUP($A573,'Plano de Contas'!#REF!,8,FALSE)),"",VLOOKUP($A573,'Plano de Contas'!#REF!,8,FALSE))</f>
        <v/>
      </c>
      <c r="P573" s="6" t="str">
        <f>IF(ISERROR(VLOOKUP($A573,'Plano de Contas'!#REF!,10,FALSE)),"",VLOOKUP($A573,'Plano de Contas'!#REF!,10,FALSE))</f>
        <v/>
      </c>
    </row>
    <row r="574" spans="1:16" x14ac:dyDescent="0.25">
      <c r="A574" t="s">
        <v>968</v>
      </c>
      <c r="B574">
        <v>309</v>
      </c>
      <c r="C574" t="s">
        <v>969</v>
      </c>
      <c r="D574" s="10">
        <v>325942.09999999998</v>
      </c>
      <c r="F574">
        <v>0</v>
      </c>
      <c r="H574">
        <v>0</v>
      </c>
      <c r="J574" s="10">
        <v>325942.09999999998</v>
      </c>
      <c r="L574" s="1">
        <f t="shared" si="8"/>
        <v>325942.09999999998</v>
      </c>
      <c r="N574" s="6" t="str">
        <f>IF(ISERROR(VLOOKUP($A574,'Plano de Contas'!#REF!,8,FALSE)),"",VLOOKUP($A574,'Plano de Contas'!#REF!,8,FALSE))</f>
        <v/>
      </c>
      <c r="P574" s="6" t="str">
        <f>IF(ISERROR(VLOOKUP($A574,'Plano de Contas'!#REF!,10,FALSE)),"",VLOOKUP($A574,'Plano de Contas'!#REF!,10,FALSE))</f>
        <v/>
      </c>
    </row>
    <row r="575" spans="1:16" x14ac:dyDescent="0.25">
      <c r="A575" t="s">
        <v>970</v>
      </c>
      <c r="B575">
        <v>330</v>
      </c>
      <c r="C575" t="s">
        <v>750</v>
      </c>
      <c r="D575" s="10">
        <v>325942.09999999998</v>
      </c>
      <c r="F575">
        <v>0</v>
      </c>
      <c r="H575">
        <v>0</v>
      </c>
      <c r="J575" s="10">
        <v>325942.09999999998</v>
      </c>
      <c r="L575" s="1">
        <f t="shared" si="8"/>
        <v>325942.09999999998</v>
      </c>
      <c r="N575" s="6" t="str">
        <f>IF(ISERROR(VLOOKUP($A575,'Plano de Contas'!#REF!,8,FALSE)),"",VLOOKUP($A575,'Plano de Contas'!#REF!,8,FALSE))</f>
        <v/>
      </c>
      <c r="P575" s="6" t="str">
        <f>IF(ISERROR(VLOOKUP($A575,'Plano de Contas'!#REF!,10,FALSE)),"",VLOOKUP($A575,'Plano de Contas'!#REF!,10,FALSE))</f>
        <v/>
      </c>
    </row>
    <row r="576" spans="1:16" x14ac:dyDescent="0.25">
      <c r="L576" s="1">
        <f t="shared" si="8"/>
        <v>0</v>
      </c>
      <c r="N576" s="6" t="str">
        <f>IF(ISERROR(VLOOKUP($A576,'Plano de Contas'!#REF!,8,FALSE)),"",VLOOKUP($A576,'Plano de Contas'!#REF!,8,FALSE))</f>
        <v/>
      </c>
      <c r="P576" s="6" t="str">
        <f>IF(ISERROR(VLOOKUP($A576,'Plano de Contas'!#REF!,10,FALSE)),"",VLOOKUP($A576,'Plano de Contas'!#REF!,10,FALSE))</f>
        <v/>
      </c>
    </row>
    <row r="577" spans="1:16" x14ac:dyDescent="0.25">
      <c r="A577">
        <v>5</v>
      </c>
      <c r="B577">
        <v>310</v>
      </c>
      <c r="C577" t="s">
        <v>971</v>
      </c>
      <c r="D577" s="10">
        <v>325942.09999999998</v>
      </c>
      <c r="E577" t="s">
        <v>35</v>
      </c>
      <c r="F577">
        <v>0</v>
      </c>
      <c r="H577">
        <v>0</v>
      </c>
      <c r="J577" s="10">
        <v>325942.09999999998</v>
      </c>
      <c r="K577" t="s">
        <v>35</v>
      </c>
      <c r="L577" s="1">
        <f t="shared" si="8"/>
        <v>-325942.09999999998</v>
      </c>
      <c r="N577" s="6" t="str">
        <f>IF(ISERROR(VLOOKUP($A577,'Plano de Contas'!#REF!,8,FALSE)),"",VLOOKUP($A577,'Plano de Contas'!#REF!,8,FALSE))</f>
        <v/>
      </c>
      <c r="P577" s="6" t="str">
        <f>IF(ISERROR(VLOOKUP($A577,'Plano de Contas'!#REF!,10,FALSE)),"",VLOOKUP($A577,'Plano de Contas'!#REF!,10,FALSE))</f>
        <v/>
      </c>
    </row>
    <row r="578" spans="1:16" x14ac:dyDescent="0.25">
      <c r="L578" s="1">
        <f t="shared" si="8"/>
        <v>0</v>
      </c>
      <c r="N578" s="6" t="str">
        <f>IF(ISERROR(VLOOKUP($A578,'Plano de Contas'!#REF!,8,FALSE)),"",VLOOKUP($A578,'Plano de Contas'!#REF!,8,FALSE))</f>
        <v/>
      </c>
      <c r="P578" s="6" t="str">
        <f>IF(ISERROR(VLOOKUP($A578,'Plano de Contas'!#REF!,10,FALSE)),"",VLOOKUP($A578,'Plano de Contas'!#REF!,10,FALSE))</f>
        <v/>
      </c>
    </row>
    <row r="579" spans="1:16" x14ac:dyDescent="0.25">
      <c r="A579" t="s">
        <v>972</v>
      </c>
      <c r="B579">
        <v>311</v>
      </c>
      <c r="C579" t="s">
        <v>965</v>
      </c>
      <c r="D579" s="10">
        <v>325942.09999999998</v>
      </c>
      <c r="E579" t="s">
        <v>35</v>
      </c>
      <c r="F579">
        <v>0</v>
      </c>
      <c r="H579">
        <v>0</v>
      </c>
      <c r="J579" s="10">
        <v>325942.09999999998</v>
      </c>
      <c r="K579" t="s">
        <v>35</v>
      </c>
      <c r="L579" s="1">
        <f t="shared" si="8"/>
        <v>-325942.09999999998</v>
      </c>
      <c r="N579" s="6" t="str">
        <f>IF(ISERROR(VLOOKUP($A579,'Plano de Contas'!#REF!,8,FALSE)),"",VLOOKUP($A579,'Plano de Contas'!#REF!,8,FALSE))</f>
        <v/>
      </c>
      <c r="P579" s="6" t="str">
        <f>IF(ISERROR(VLOOKUP($A579,'Plano de Contas'!#REF!,10,FALSE)),"",VLOOKUP($A579,'Plano de Contas'!#REF!,10,FALSE))</f>
        <v/>
      </c>
    </row>
    <row r="580" spans="1:16" x14ac:dyDescent="0.25">
      <c r="L580" s="1">
        <f t="shared" si="8"/>
        <v>0</v>
      </c>
      <c r="N580" s="6" t="str">
        <f>IF(ISERROR(VLOOKUP($A580,'Plano de Contas'!#REF!,8,FALSE)),"",VLOOKUP($A580,'Plano de Contas'!#REF!,8,FALSE))</f>
        <v/>
      </c>
      <c r="P580" s="6" t="str">
        <f>IF(ISERROR(VLOOKUP($A580,'Plano de Contas'!#REF!,10,FALSE)),"",VLOOKUP($A580,'Plano de Contas'!#REF!,10,FALSE))</f>
        <v/>
      </c>
    </row>
    <row r="581" spans="1:16" x14ac:dyDescent="0.25">
      <c r="A581" t="s">
        <v>973</v>
      </c>
      <c r="B581">
        <v>312</v>
      </c>
      <c r="C581" t="s">
        <v>967</v>
      </c>
      <c r="D581" s="10">
        <v>325942.09999999998</v>
      </c>
      <c r="E581" t="s">
        <v>35</v>
      </c>
      <c r="F581">
        <v>0</v>
      </c>
      <c r="H581">
        <v>0</v>
      </c>
      <c r="J581" s="10">
        <v>325942.09999999998</v>
      </c>
      <c r="K581" t="s">
        <v>35</v>
      </c>
      <c r="L581" s="1">
        <f t="shared" si="8"/>
        <v>-325942.09999999998</v>
      </c>
      <c r="N581" s="6" t="str">
        <f>IF(ISERROR(VLOOKUP($A581,'Plano de Contas'!#REF!,8,FALSE)),"",VLOOKUP($A581,'Plano de Contas'!#REF!,8,FALSE))</f>
        <v/>
      </c>
      <c r="P581" s="6" t="str">
        <f>IF(ISERROR(VLOOKUP($A581,'Plano de Contas'!#REF!,10,FALSE)),"",VLOOKUP($A581,'Plano de Contas'!#REF!,10,FALSE))</f>
        <v/>
      </c>
    </row>
    <row r="582" spans="1:16" x14ac:dyDescent="0.25">
      <c r="L582" s="1">
        <f t="shared" si="8"/>
        <v>0</v>
      </c>
      <c r="N582" s="6" t="str">
        <f>IF(ISERROR(VLOOKUP($A582,'Plano de Contas'!#REF!,8,FALSE)),"",VLOOKUP($A582,'Plano de Contas'!#REF!,8,FALSE))</f>
        <v/>
      </c>
      <c r="P582" s="6" t="str">
        <f>IF(ISERROR(VLOOKUP($A582,'Plano de Contas'!#REF!,10,FALSE)),"",VLOOKUP($A582,'Plano de Contas'!#REF!,10,FALSE))</f>
        <v/>
      </c>
    </row>
    <row r="583" spans="1:16" x14ac:dyDescent="0.25">
      <c r="A583" t="s">
        <v>974</v>
      </c>
      <c r="B583">
        <v>313</v>
      </c>
      <c r="C583" t="s">
        <v>969</v>
      </c>
      <c r="D583" s="10">
        <v>325942.09999999998</v>
      </c>
      <c r="E583" t="s">
        <v>35</v>
      </c>
      <c r="F583">
        <v>0</v>
      </c>
      <c r="H583">
        <v>0</v>
      </c>
      <c r="J583" s="10">
        <v>325942.09999999998</v>
      </c>
      <c r="K583" t="s">
        <v>35</v>
      </c>
      <c r="L583" s="1">
        <f t="shared" si="8"/>
        <v>-325942.09999999998</v>
      </c>
      <c r="N583" s="6" t="str">
        <f>IF(ISERROR(VLOOKUP($A583,'Plano de Contas'!#REF!,8,FALSE)),"",VLOOKUP($A583,'Plano de Contas'!#REF!,8,FALSE))</f>
        <v/>
      </c>
      <c r="P583" s="6" t="str">
        <f>IF(ISERROR(VLOOKUP($A583,'Plano de Contas'!#REF!,10,FALSE)),"",VLOOKUP($A583,'Plano de Contas'!#REF!,10,FALSE))</f>
        <v/>
      </c>
    </row>
    <row r="584" spans="1:16" x14ac:dyDescent="0.25">
      <c r="A584" t="s">
        <v>975</v>
      </c>
      <c r="B584">
        <v>331</v>
      </c>
      <c r="C584" t="s">
        <v>750</v>
      </c>
      <c r="D584" s="10">
        <v>325942.09999999998</v>
      </c>
      <c r="E584" t="s">
        <v>35</v>
      </c>
      <c r="F584">
        <v>0</v>
      </c>
      <c r="H584">
        <v>0</v>
      </c>
      <c r="J584" s="10">
        <v>325942.09999999998</v>
      </c>
      <c r="K584" t="s">
        <v>35</v>
      </c>
      <c r="L584" s="1">
        <f t="shared" ref="L584:L651" si="9">IF(K584="-",-J584,J584)</f>
        <v>-325942.09999999998</v>
      </c>
      <c r="N584" s="6" t="str">
        <f>IF(ISERROR(VLOOKUP($A584,'Plano de Contas'!#REF!,8,FALSE)),"",VLOOKUP($A584,'Plano de Contas'!#REF!,8,FALSE))</f>
        <v/>
      </c>
      <c r="P584" s="6" t="str">
        <f>IF(ISERROR(VLOOKUP($A584,'Plano de Contas'!#REF!,10,FALSE)),"",VLOOKUP($A584,'Plano de Contas'!#REF!,10,FALSE))</f>
        <v/>
      </c>
    </row>
    <row r="585" spans="1:16" x14ac:dyDescent="0.25">
      <c r="L585" s="1">
        <f t="shared" si="9"/>
        <v>0</v>
      </c>
      <c r="N585" s="6" t="str">
        <f>IF(ISERROR(VLOOKUP($A585,'Plano de Contas'!#REF!,8,FALSE)),"",VLOOKUP($A585,'Plano de Contas'!#REF!,8,FALSE))</f>
        <v/>
      </c>
      <c r="P585" s="6" t="str">
        <f>IF(ISERROR(VLOOKUP($A585,'Plano de Contas'!#REF!,10,FALSE)),"",VLOOKUP($A585,'Plano de Contas'!#REF!,10,FALSE))</f>
        <v/>
      </c>
    </row>
    <row r="586" spans="1:16" x14ac:dyDescent="0.25">
      <c r="C586" t="s">
        <v>976</v>
      </c>
      <c r="D586" t="s">
        <v>1485</v>
      </c>
      <c r="E586">
        <v>2</v>
      </c>
      <c r="F586" s="10">
        <v>5712035.7400000002</v>
      </c>
      <c r="L586" s="1">
        <f t="shared" si="9"/>
        <v>0</v>
      </c>
      <c r="N586" s="6" t="str">
        <f>IF(ISERROR(VLOOKUP($A586,'Plano de Contas'!#REF!,8,FALSE)),"",VLOOKUP($A586,'Plano de Contas'!#REF!,8,FALSE))</f>
        <v/>
      </c>
      <c r="P586" s="6" t="str">
        <f>IF(ISERROR(VLOOKUP($A586,'Plano de Contas'!#REF!,10,FALSE)),"",VLOOKUP($A586,'Plano de Contas'!#REF!,10,FALSE))</f>
        <v/>
      </c>
    </row>
    <row r="587" spans="1:16" x14ac:dyDescent="0.25">
      <c r="C587" t="s">
        <v>978</v>
      </c>
      <c r="D587" t="s">
        <v>1485</v>
      </c>
      <c r="E587">
        <v>2</v>
      </c>
      <c r="F587" s="10">
        <v>-5712035.7400000002</v>
      </c>
      <c r="L587" s="1">
        <f t="shared" si="9"/>
        <v>0</v>
      </c>
      <c r="N587" s="6" t="str">
        <f>IF(ISERROR(VLOOKUP($A587,'Plano de Contas'!#REF!,8,FALSE)),"",VLOOKUP($A587,'Plano de Contas'!#REF!,8,FALSE))</f>
        <v/>
      </c>
      <c r="P587" s="6" t="str">
        <f>IF(ISERROR(VLOOKUP($A587,'Plano de Contas'!#REF!,10,FALSE)),"",VLOOKUP($A587,'Plano de Contas'!#REF!,10,FALSE))</f>
        <v/>
      </c>
    </row>
    <row r="588" spans="1:16" x14ac:dyDescent="0.25">
      <c r="L588" s="1">
        <f t="shared" si="9"/>
        <v>0</v>
      </c>
      <c r="N588" s="6" t="str">
        <f>IF(ISERROR(VLOOKUP($A588,'Plano de Contas'!#REF!,8,FALSE)),"",VLOOKUP($A588,'Plano de Contas'!#REF!,8,FALSE))</f>
        <v/>
      </c>
      <c r="P588" s="6" t="str">
        <f>IF(ISERROR(VLOOKUP($A588,'Plano de Contas'!#REF!,10,FALSE)),"",VLOOKUP($A588,'Plano de Contas'!#REF!,10,FALSE))</f>
        <v/>
      </c>
    </row>
    <row r="589" spans="1:16" x14ac:dyDescent="0.25">
      <c r="L589" s="1">
        <f t="shared" si="9"/>
        <v>0</v>
      </c>
      <c r="N589" s="6" t="str">
        <f>IF(ISERROR(VLOOKUP($A589,'Plano de Contas'!#REF!,8,FALSE)),"",VLOOKUP($A589,'Plano de Contas'!#REF!,8,FALSE))</f>
        <v/>
      </c>
      <c r="P589" s="6" t="str">
        <f>IF(ISERROR(VLOOKUP($A589,'Plano de Contas'!#REF!,10,FALSE)),"",VLOOKUP($A589,'Plano de Contas'!#REF!,10,FALSE))</f>
        <v/>
      </c>
    </row>
    <row r="590" spans="1:16" x14ac:dyDescent="0.25">
      <c r="L590" s="1">
        <f t="shared" si="9"/>
        <v>0</v>
      </c>
      <c r="N590" s="6" t="str">
        <f>IF(ISERROR(VLOOKUP($A590,'Plano de Contas'!#REF!,8,FALSE)),"",VLOOKUP($A590,'Plano de Contas'!#REF!,8,FALSE))</f>
        <v/>
      </c>
      <c r="P590" s="6" t="str">
        <f>IF(ISERROR(VLOOKUP($A590,'Plano de Contas'!#REF!,10,FALSE)),"",VLOOKUP($A590,'Plano de Contas'!#REF!,10,FALSE))</f>
        <v/>
      </c>
    </row>
    <row r="591" spans="1:16" x14ac:dyDescent="0.25">
      <c r="L591" s="1">
        <f t="shared" si="9"/>
        <v>0</v>
      </c>
      <c r="N591" s="6" t="str">
        <f>IF(ISERROR(VLOOKUP($A591,'Plano de Contas'!#REF!,8,FALSE)),"",VLOOKUP($A591,'Plano de Contas'!#REF!,8,FALSE))</f>
        <v/>
      </c>
      <c r="P591" s="6" t="str">
        <f>IF(ISERROR(VLOOKUP($A591,'Plano de Contas'!#REF!,10,FALSE)),"",VLOOKUP($A591,'Plano de Contas'!#REF!,10,FALSE))</f>
        <v/>
      </c>
    </row>
    <row r="592" spans="1:16" x14ac:dyDescent="0.25">
      <c r="L592" s="1">
        <f t="shared" si="9"/>
        <v>0</v>
      </c>
      <c r="N592" s="6" t="str">
        <f>IF(ISERROR(VLOOKUP($A592,'Plano de Contas'!#REF!,8,FALSE)),"",VLOOKUP($A592,'Plano de Contas'!#REF!,8,FALSE))</f>
        <v/>
      </c>
      <c r="P592" s="6" t="str">
        <f>IF(ISERROR(VLOOKUP($A592,'Plano de Contas'!#REF!,10,FALSE)),"",VLOOKUP($A592,'Plano de Contas'!#REF!,10,FALSE))</f>
        <v/>
      </c>
    </row>
    <row r="593" spans="12:16" x14ac:dyDescent="0.25">
      <c r="L593" s="1">
        <f t="shared" si="9"/>
        <v>0</v>
      </c>
      <c r="N593" s="6" t="str">
        <f>IF(ISERROR(VLOOKUP($A593,'Plano de Contas'!#REF!,8,FALSE)),"",VLOOKUP($A593,'Plano de Contas'!#REF!,8,FALSE))</f>
        <v/>
      </c>
      <c r="P593" s="6" t="str">
        <f>IF(ISERROR(VLOOKUP($A593,'Plano de Contas'!#REF!,10,FALSE)),"",VLOOKUP($A593,'Plano de Contas'!#REF!,10,FALSE))</f>
        <v/>
      </c>
    </row>
    <row r="594" spans="12:16" x14ac:dyDescent="0.25">
      <c r="L594" s="1">
        <f t="shared" si="9"/>
        <v>0</v>
      </c>
      <c r="N594" s="6" t="str">
        <f>IF(ISERROR(VLOOKUP($A594,'Plano de Contas'!#REF!,8,FALSE)),"",VLOOKUP($A594,'Plano de Contas'!#REF!,8,FALSE))</f>
        <v/>
      </c>
      <c r="P594" s="6" t="str">
        <f>IF(ISERROR(VLOOKUP($A594,'Plano de Contas'!#REF!,10,FALSE)),"",VLOOKUP($A594,'Plano de Contas'!#REF!,10,FALSE))</f>
        <v/>
      </c>
    </row>
    <row r="595" spans="12:16" x14ac:dyDescent="0.25">
      <c r="L595" s="1">
        <f t="shared" si="9"/>
        <v>0</v>
      </c>
      <c r="N595" s="6" t="str">
        <f>IF(ISERROR(VLOOKUP($A595,'Plano de Contas'!#REF!,8,FALSE)),"",VLOOKUP($A595,'Plano de Contas'!#REF!,8,FALSE))</f>
        <v/>
      </c>
      <c r="P595" s="6" t="str">
        <f>IF(ISERROR(VLOOKUP($A595,'Plano de Contas'!#REF!,10,FALSE)),"",VLOOKUP($A595,'Plano de Contas'!#REF!,10,FALSE))</f>
        <v/>
      </c>
    </row>
    <row r="596" spans="12:16" x14ac:dyDescent="0.25">
      <c r="L596" s="1">
        <f t="shared" si="9"/>
        <v>0</v>
      </c>
      <c r="N596" s="6" t="str">
        <f>IF(ISERROR(VLOOKUP($A596,'Plano de Contas'!#REF!,8,FALSE)),"",VLOOKUP($A596,'Plano de Contas'!#REF!,8,FALSE))</f>
        <v/>
      </c>
      <c r="P596" s="6" t="str">
        <f>IF(ISERROR(VLOOKUP($A596,'Plano de Contas'!#REF!,10,FALSE)),"",VLOOKUP($A596,'Plano de Contas'!#REF!,10,FALSE))</f>
        <v/>
      </c>
    </row>
    <row r="597" spans="12:16" x14ac:dyDescent="0.25">
      <c r="L597" s="1">
        <f t="shared" si="9"/>
        <v>0</v>
      </c>
      <c r="N597" s="6" t="str">
        <f>IF(ISERROR(VLOOKUP($A597,'Plano de Contas'!#REF!,8,FALSE)),"",VLOOKUP($A597,'Plano de Contas'!#REF!,8,FALSE))</f>
        <v/>
      </c>
      <c r="P597" s="6" t="str">
        <f>IF(ISERROR(VLOOKUP($A597,'Plano de Contas'!#REF!,10,FALSE)),"",VLOOKUP($A597,'Plano de Contas'!#REF!,10,FALSE))</f>
        <v/>
      </c>
    </row>
    <row r="598" spans="12:16" x14ac:dyDescent="0.25">
      <c r="L598" s="1">
        <f t="shared" si="9"/>
        <v>0</v>
      </c>
      <c r="N598" s="6" t="str">
        <f>IF(ISERROR(VLOOKUP($A598,'Plano de Contas'!#REF!,8,FALSE)),"",VLOOKUP($A598,'Plano de Contas'!#REF!,8,FALSE))</f>
        <v/>
      </c>
      <c r="P598" s="6" t="str">
        <f>IF(ISERROR(VLOOKUP($A598,'Plano de Contas'!#REF!,10,FALSE)),"",VLOOKUP($A598,'Plano de Contas'!#REF!,10,FALSE))</f>
        <v/>
      </c>
    </row>
    <row r="599" spans="12:16" x14ac:dyDescent="0.25">
      <c r="L599" s="1">
        <f t="shared" si="9"/>
        <v>0</v>
      </c>
      <c r="N599" s="6" t="str">
        <f>IF(ISERROR(VLOOKUP($A599,'Plano de Contas'!#REF!,8,FALSE)),"",VLOOKUP($A599,'Plano de Contas'!#REF!,8,FALSE))</f>
        <v/>
      </c>
      <c r="P599" s="6" t="str">
        <f>IF(ISERROR(VLOOKUP($A599,'Plano de Contas'!#REF!,10,FALSE)),"",VLOOKUP($A599,'Plano de Contas'!#REF!,10,FALSE))</f>
        <v/>
      </c>
    </row>
    <row r="600" spans="12:16" x14ac:dyDescent="0.25">
      <c r="L600" s="1">
        <f t="shared" si="9"/>
        <v>0</v>
      </c>
      <c r="N600" s="6" t="str">
        <f>IF(ISERROR(VLOOKUP($A600,'Plano de Contas'!#REF!,8,FALSE)),"",VLOOKUP($A600,'Plano de Contas'!#REF!,8,FALSE))</f>
        <v/>
      </c>
      <c r="P600" s="6" t="str">
        <f>IF(ISERROR(VLOOKUP($A600,'Plano de Contas'!#REF!,10,FALSE)),"",VLOOKUP($A600,'Plano de Contas'!#REF!,10,FALSE))</f>
        <v/>
      </c>
    </row>
    <row r="601" spans="12:16" x14ac:dyDescent="0.25">
      <c r="L601" s="1">
        <f t="shared" si="9"/>
        <v>0</v>
      </c>
      <c r="N601" s="6" t="str">
        <f>IF(ISERROR(VLOOKUP($A601,'Plano de Contas'!#REF!,8,FALSE)),"",VLOOKUP($A601,'Plano de Contas'!#REF!,8,FALSE))</f>
        <v/>
      </c>
      <c r="P601" s="6" t="str">
        <f>IF(ISERROR(VLOOKUP($A601,'Plano de Contas'!#REF!,10,FALSE)),"",VLOOKUP($A601,'Plano de Contas'!#REF!,10,FALSE))</f>
        <v/>
      </c>
    </row>
    <row r="602" spans="12:16" x14ac:dyDescent="0.25">
      <c r="L602" s="1">
        <f t="shared" si="9"/>
        <v>0</v>
      </c>
      <c r="N602" s="6" t="str">
        <f>IF(ISERROR(VLOOKUP($A602,'Plano de Contas'!#REF!,8,FALSE)),"",VLOOKUP($A602,'Plano de Contas'!#REF!,8,FALSE))</f>
        <v/>
      </c>
      <c r="P602" s="6" t="str">
        <f>IF(ISERROR(VLOOKUP($A602,'Plano de Contas'!#REF!,10,FALSE)),"",VLOOKUP($A602,'Plano de Contas'!#REF!,10,FALSE))</f>
        <v/>
      </c>
    </row>
    <row r="603" spans="12:16" x14ac:dyDescent="0.25">
      <c r="L603" s="1">
        <f t="shared" si="9"/>
        <v>0</v>
      </c>
      <c r="N603" s="6" t="str">
        <f>IF(ISERROR(VLOOKUP($A603,'Plano de Contas'!#REF!,8,FALSE)),"",VLOOKUP($A603,'Plano de Contas'!#REF!,8,FALSE))</f>
        <v/>
      </c>
      <c r="P603" s="6" t="str">
        <f>IF(ISERROR(VLOOKUP($A603,'Plano de Contas'!#REF!,10,FALSE)),"",VLOOKUP($A603,'Plano de Contas'!#REF!,10,FALSE))</f>
        <v/>
      </c>
    </row>
    <row r="604" spans="12:16" x14ac:dyDescent="0.25">
      <c r="L604" s="1">
        <f t="shared" si="9"/>
        <v>0</v>
      </c>
      <c r="N604" s="6" t="str">
        <f>IF(ISERROR(VLOOKUP($A604,'Plano de Contas'!#REF!,8,FALSE)),"",VLOOKUP($A604,'Plano de Contas'!#REF!,8,FALSE))</f>
        <v/>
      </c>
      <c r="P604" s="6" t="str">
        <f>IF(ISERROR(VLOOKUP($A604,'Plano de Contas'!#REF!,10,FALSE)),"",VLOOKUP($A604,'Plano de Contas'!#REF!,10,FALSE))</f>
        <v/>
      </c>
    </row>
    <row r="605" spans="12:16" x14ac:dyDescent="0.25">
      <c r="L605" s="1">
        <f t="shared" si="9"/>
        <v>0</v>
      </c>
      <c r="N605" s="6" t="str">
        <f>IF(ISERROR(VLOOKUP($A605,'Plano de Contas'!#REF!,8,FALSE)),"",VLOOKUP($A605,'Plano de Contas'!#REF!,8,FALSE))</f>
        <v/>
      </c>
      <c r="P605" s="6" t="str">
        <f>IF(ISERROR(VLOOKUP($A605,'Plano de Contas'!#REF!,10,FALSE)),"",VLOOKUP($A605,'Plano de Contas'!#REF!,10,FALSE))</f>
        <v/>
      </c>
    </row>
    <row r="606" spans="12:16" x14ac:dyDescent="0.25">
      <c r="L606" s="1">
        <f t="shared" si="9"/>
        <v>0</v>
      </c>
      <c r="N606" s="6" t="str">
        <f>IF(ISERROR(VLOOKUP($A606,'Plano de Contas'!#REF!,8,FALSE)),"",VLOOKUP($A606,'Plano de Contas'!#REF!,8,FALSE))</f>
        <v/>
      </c>
      <c r="P606" s="6" t="str">
        <f>IF(ISERROR(VLOOKUP($A606,'Plano de Contas'!#REF!,10,FALSE)),"",VLOOKUP($A606,'Plano de Contas'!#REF!,10,FALSE))</f>
        <v/>
      </c>
    </row>
    <row r="607" spans="12:16" x14ac:dyDescent="0.25">
      <c r="L607" s="1">
        <f t="shared" si="9"/>
        <v>0</v>
      </c>
      <c r="N607" s="6" t="str">
        <f>IF(ISERROR(VLOOKUP($A607,'Plano de Contas'!#REF!,8,FALSE)),"",VLOOKUP($A607,'Plano de Contas'!#REF!,8,FALSE))</f>
        <v/>
      </c>
      <c r="P607" s="6" t="str">
        <f>IF(ISERROR(VLOOKUP($A607,'Plano de Contas'!#REF!,10,FALSE)),"",VLOOKUP($A607,'Plano de Contas'!#REF!,10,FALSE))</f>
        <v/>
      </c>
    </row>
    <row r="608" spans="12:16" x14ac:dyDescent="0.25">
      <c r="L608" s="1">
        <f t="shared" si="9"/>
        <v>0</v>
      </c>
      <c r="N608" s="6" t="str">
        <f>IF(ISERROR(VLOOKUP($A608,'Plano de Contas'!#REF!,8,FALSE)),"",VLOOKUP($A608,'Plano de Contas'!#REF!,8,FALSE))</f>
        <v/>
      </c>
      <c r="P608" s="6" t="str">
        <f>IF(ISERROR(VLOOKUP($A608,'Plano de Contas'!#REF!,10,FALSE)),"",VLOOKUP($A608,'Plano de Contas'!#REF!,10,FALSE))</f>
        <v/>
      </c>
    </row>
    <row r="609" spans="12:16" x14ac:dyDescent="0.25">
      <c r="L609" s="1">
        <f t="shared" si="9"/>
        <v>0</v>
      </c>
      <c r="N609" s="6" t="str">
        <f>IF(ISERROR(VLOOKUP($A609,'Plano de Contas'!#REF!,8,FALSE)),"",VLOOKUP($A609,'Plano de Contas'!#REF!,8,FALSE))</f>
        <v/>
      </c>
      <c r="P609" s="6" t="str">
        <f>IF(ISERROR(VLOOKUP($A609,'Plano de Contas'!#REF!,10,FALSE)),"",VLOOKUP($A609,'Plano de Contas'!#REF!,10,FALSE))</f>
        <v/>
      </c>
    </row>
    <row r="610" spans="12:16" x14ac:dyDescent="0.25">
      <c r="L610" s="1">
        <f t="shared" si="9"/>
        <v>0</v>
      </c>
      <c r="N610" s="6" t="str">
        <f>IF(ISERROR(VLOOKUP($A610,'Plano de Contas'!#REF!,8,FALSE)),"",VLOOKUP($A610,'Plano de Contas'!#REF!,8,FALSE))</f>
        <v/>
      </c>
      <c r="P610" s="6" t="str">
        <f>IF(ISERROR(VLOOKUP($A610,'Plano de Contas'!#REF!,10,FALSE)),"",VLOOKUP($A610,'Plano de Contas'!#REF!,10,FALSE))</f>
        <v/>
      </c>
    </row>
    <row r="611" spans="12:16" x14ac:dyDescent="0.25">
      <c r="L611" s="1">
        <f t="shared" si="9"/>
        <v>0</v>
      </c>
      <c r="N611" s="6" t="str">
        <f>IF(ISERROR(VLOOKUP($A611,'Plano de Contas'!#REF!,8,FALSE)),"",VLOOKUP($A611,'Plano de Contas'!#REF!,8,FALSE))</f>
        <v/>
      </c>
      <c r="P611" s="6" t="str">
        <f>IF(ISERROR(VLOOKUP($A611,'Plano de Contas'!#REF!,10,FALSE)),"",VLOOKUP($A611,'Plano de Contas'!#REF!,10,FALSE))</f>
        <v/>
      </c>
    </row>
    <row r="612" spans="12:16" x14ac:dyDescent="0.25">
      <c r="L612" s="1">
        <f t="shared" si="9"/>
        <v>0</v>
      </c>
      <c r="N612" s="6" t="str">
        <f>IF(ISERROR(VLOOKUP($A612,'Plano de Contas'!#REF!,8,FALSE)),"",VLOOKUP($A612,'Plano de Contas'!#REF!,8,FALSE))</f>
        <v/>
      </c>
      <c r="P612" s="6" t="str">
        <f>IF(ISERROR(VLOOKUP($A612,'Plano de Contas'!#REF!,10,FALSE)),"",VLOOKUP($A612,'Plano de Contas'!#REF!,10,FALSE))</f>
        <v/>
      </c>
    </row>
    <row r="613" spans="12:16" x14ac:dyDescent="0.25">
      <c r="L613" s="1">
        <f t="shared" si="9"/>
        <v>0</v>
      </c>
      <c r="N613" s="6" t="str">
        <f>IF(ISERROR(VLOOKUP($A613,'Plano de Contas'!#REF!,8,FALSE)),"",VLOOKUP($A613,'Plano de Contas'!#REF!,8,FALSE))</f>
        <v/>
      </c>
      <c r="P613" s="6" t="str">
        <f>IF(ISERROR(VLOOKUP($A613,'Plano de Contas'!#REF!,10,FALSE)),"",VLOOKUP($A613,'Plano de Contas'!#REF!,10,FALSE))</f>
        <v/>
      </c>
    </row>
    <row r="614" spans="12:16" x14ac:dyDescent="0.25">
      <c r="L614" s="1">
        <f t="shared" si="9"/>
        <v>0</v>
      </c>
      <c r="N614" s="6" t="str">
        <f>IF(ISERROR(VLOOKUP($A614,'Plano de Contas'!#REF!,8,FALSE)),"",VLOOKUP($A614,'Plano de Contas'!#REF!,8,FALSE))</f>
        <v/>
      </c>
      <c r="P614" s="6" t="str">
        <f>IF(ISERROR(VLOOKUP($A614,'Plano de Contas'!#REF!,10,FALSE)),"",VLOOKUP($A614,'Plano de Contas'!#REF!,10,FALSE))</f>
        <v/>
      </c>
    </row>
    <row r="615" spans="12:16" x14ac:dyDescent="0.25">
      <c r="L615" s="1">
        <f t="shared" si="9"/>
        <v>0</v>
      </c>
      <c r="N615" s="6" t="str">
        <f>IF(ISERROR(VLOOKUP($A615,'Plano de Contas'!#REF!,8,FALSE)),"",VLOOKUP($A615,'Plano de Contas'!#REF!,8,FALSE))</f>
        <v/>
      </c>
      <c r="P615" s="6" t="str">
        <f>IF(ISERROR(VLOOKUP($A615,'Plano de Contas'!#REF!,10,FALSE)),"",VLOOKUP($A615,'Plano de Contas'!#REF!,10,FALSE))</f>
        <v/>
      </c>
    </row>
    <row r="616" spans="12:16" x14ac:dyDescent="0.25">
      <c r="L616" s="1">
        <f t="shared" si="9"/>
        <v>0</v>
      </c>
      <c r="N616" s="6" t="str">
        <f>IF(ISERROR(VLOOKUP($A616,'Plano de Contas'!#REF!,8,FALSE)),"",VLOOKUP($A616,'Plano de Contas'!#REF!,8,FALSE))</f>
        <v/>
      </c>
      <c r="P616" s="6" t="str">
        <f>IF(ISERROR(VLOOKUP($A616,'Plano de Contas'!#REF!,10,FALSE)),"",VLOOKUP($A616,'Plano de Contas'!#REF!,10,FALSE))</f>
        <v/>
      </c>
    </row>
    <row r="617" spans="12:16" x14ac:dyDescent="0.25">
      <c r="L617" s="1">
        <f t="shared" si="9"/>
        <v>0</v>
      </c>
      <c r="N617" s="6" t="str">
        <f>IF(ISERROR(VLOOKUP($A617,'Plano de Contas'!#REF!,8,FALSE)),"",VLOOKUP($A617,'Plano de Contas'!#REF!,8,FALSE))</f>
        <v/>
      </c>
      <c r="P617" s="6" t="str">
        <f>IF(ISERROR(VLOOKUP($A617,'Plano de Contas'!#REF!,10,FALSE)),"",VLOOKUP($A617,'Plano de Contas'!#REF!,10,FALSE))</f>
        <v/>
      </c>
    </row>
    <row r="618" spans="12:16" x14ac:dyDescent="0.25">
      <c r="L618" s="1">
        <f t="shared" si="9"/>
        <v>0</v>
      </c>
      <c r="N618" s="6" t="str">
        <f>IF(ISERROR(VLOOKUP($A618,'Plano de Contas'!#REF!,8,FALSE)),"",VLOOKUP($A618,'Plano de Contas'!#REF!,8,FALSE))</f>
        <v/>
      </c>
      <c r="P618" s="6" t="str">
        <f>IF(ISERROR(VLOOKUP($A618,'Plano de Contas'!#REF!,10,FALSE)),"",VLOOKUP($A618,'Plano de Contas'!#REF!,10,FALSE))</f>
        <v/>
      </c>
    </row>
    <row r="619" spans="12:16" x14ac:dyDescent="0.25">
      <c r="L619" s="1">
        <f t="shared" si="9"/>
        <v>0</v>
      </c>
      <c r="N619" s="6" t="str">
        <f>IF(ISERROR(VLOOKUP($A619,'Plano de Contas'!#REF!,8,FALSE)),"",VLOOKUP($A619,'Plano de Contas'!#REF!,8,FALSE))</f>
        <v/>
      </c>
      <c r="P619" s="6" t="str">
        <f>IF(ISERROR(VLOOKUP($A619,'Plano de Contas'!#REF!,10,FALSE)),"",VLOOKUP($A619,'Plano de Contas'!#REF!,10,FALSE))</f>
        <v/>
      </c>
    </row>
    <row r="620" spans="12:16" x14ac:dyDescent="0.25">
      <c r="L620" s="1">
        <f t="shared" si="9"/>
        <v>0</v>
      </c>
      <c r="N620" s="6" t="str">
        <f>IF(ISERROR(VLOOKUP($A620,'Plano de Contas'!#REF!,8,FALSE)),"",VLOOKUP($A620,'Plano de Contas'!#REF!,8,FALSE))</f>
        <v/>
      </c>
      <c r="P620" s="6" t="str">
        <f>IF(ISERROR(VLOOKUP($A620,'Plano de Contas'!#REF!,10,FALSE)),"",VLOOKUP($A620,'Plano de Contas'!#REF!,10,FALSE))</f>
        <v/>
      </c>
    </row>
    <row r="621" spans="12:16" x14ac:dyDescent="0.25">
      <c r="L621" s="1">
        <f t="shared" si="9"/>
        <v>0</v>
      </c>
      <c r="N621" s="6" t="str">
        <f>IF(ISERROR(VLOOKUP($A621,'Plano de Contas'!#REF!,8,FALSE)),"",VLOOKUP($A621,'Plano de Contas'!#REF!,8,FALSE))</f>
        <v/>
      </c>
      <c r="P621" s="6" t="str">
        <f>IF(ISERROR(VLOOKUP($A621,'Plano de Contas'!#REF!,10,FALSE)),"",VLOOKUP($A621,'Plano de Contas'!#REF!,10,FALSE))</f>
        <v/>
      </c>
    </row>
    <row r="622" spans="12:16" x14ac:dyDescent="0.25">
      <c r="L622" s="1">
        <f t="shared" si="9"/>
        <v>0</v>
      </c>
      <c r="N622" s="6" t="str">
        <f>IF(ISERROR(VLOOKUP($A622,'Plano de Contas'!#REF!,8,FALSE)),"",VLOOKUP($A622,'Plano de Contas'!#REF!,8,FALSE))</f>
        <v/>
      </c>
      <c r="P622" s="6" t="str">
        <f>IF(ISERROR(VLOOKUP($A622,'Plano de Contas'!#REF!,10,FALSE)),"",VLOOKUP($A622,'Plano de Contas'!#REF!,10,FALSE))</f>
        <v/>
      </c>
    </row>
    <row r="623" spans="12:16" x14ac:dyDescent="0.25">
      <c r="L623" s="1">
        <f t="shared" si="9"/>
        <v>0</v>
      </c>
      <c r="N623" s="6" t="str">
        <f>IF(ISERROR(VLOOKUP($A623,'Plano de Contas'!#REF!,8,FALSE)),"",VLOOKUP($A623,'Plano de Contas'!#REF!,8,FALSE))</f>
        <v/>
      </c>
      <c r="P623" s="6" t="str">
        <f>IF(ISERROR(VLOOKUP($A623,'Plano de Contas'!#REF!,10,FALSE)),"",VLOOKUP($A623,'Plano de Contas'!#REF!,10,FALSE))</f>
        <v/>
      </c>
    </row>
    <row r="624" spans="12:16" x14ac:dyDescent="0.25">
      <c r="L624" s="1">
        <f t="shared" si="9"/>
        <v>0</v>
      </c>
      <c r="N624" s="6" t="str">
        <f>IF(ISERROR(VLOOKUP($A624,'Plano de Contas'!#REF!,8,FALSE)),"",VLOOKUP($A624,'Plano de Contas'!#REF!,8,FALSE))</f>
        <v/>
      </c>
      <c r="P624" s="6" t="str">
        <f>IF(ISERROR(VLOOKUP($A624,'Plano de Contas'!#REF!,10,FALSE)),"",VLOOKUP($A624,'Plano de Contas'!#REF!,10,FALSE))</f>
        <v/>
      </c>
    </row>
    <row r="625" spans="12:16" x14ac:dyDescent="0.25">
      <c r="L625" s="1">
        <f t="shared" si="9"/>
        <v>0</v>
      </c>
      <c r="N625" s="6" t="str">
        <f>IF(ISERROR(VLOOKUP($A625,'Plano de Contas'!#REF!,8,FALSE)),"",VLOOKUP($A625,'Plano de Contas'!#REF!,8,FALSE))</f>
        <v/>
      </c>
      <c r="P625" s="6" t="str">
        <f>IF(ISERROR(VLOOKUP($A625,'Plano de Contas'!#REF!,10,FALSE)),"",VLOOKUP($A625,'Plano de Contas'!#REF!,10,FALSE))</f>
        <v/>
      </c>
    </row>
    <row r="626" spans="12:16" x14ac:dyDescent="0.25">
      <c r="L626" s="1">
        <f t="shared" si="9"/>
        <v>0</v>
      </c>
      <c r="N626" s="6" t="str">
        <f>IF(ISERROR(VLOOKUP($A626,'Plano de Contas'!#REF!,8,FALSE)),"",VLOOKUP($A626,'Plano de Contas'!#REF!,8,FALSE))</f>
        <v/>
      </c>
      <c r="P626" s="6" t="str">
        <f>IF(ISERROR(VLOOKUP($A626,'Plano de Contas'!#REF!,10,FALSE)),"",VLOOKUP($A626,'Plano de Contas'!#REF!,10,FALSE))</f>
        <v/>
      </c>
    </row>
    <row r="627" spans="12:16" x14ac:dyDescent="0.25">
      <c r="L627" s="1">
        <f t="shared" si="9"/>
        <v>0</v>
      </c>
      <c r="N627" s="6" t="str">
        <f>IF(ISERROR(VLOOKUP($A627,'Plano de Contas'!#REF!,8,FALSE)),"",VLOOKUP($A627,'Plano de Contas'!#REF!,8,FALSE))</f>
        <v/>
      </c>
      <c r="P627" s="6" t="str">
        <f>IF(ISERROR(VLOOKUP($A627,'Plano de Contas'!#REF!,10,FALSE)),"",VLOOKUP($A627,'Plano de Contas'!#REF!,10,FALSE))</f>
        <v/>
      </c>
    </row>
    <row r="628" spans="12:16" x14ac:dyDescent="0.25">
      <c r="L628" s="1">
        <f t="shared" si="9"/>
        <v>0</v>
      </c>
      <c r="N628" s="6" t="str">
        <f>IF(ISERROR(VLOOKUP($A628,'Plano de Contas'!#REF!,8,FALSE)),"",VLOOKUP($A628,'Plano de Contas'!#REF!,8,FALSE))</f>
        <v/>
      </c>
      <c r="P628" s="6" t="str">
        <f>IF(ISERROR(VLOOKUP($A628,'Plano de Contas'!#REF!,10,FALSE)),"",VLOOKUP($A628,'Plano de Contas'!#REF!,10,FALSE))</f>
        <v/>
      </c>
    </row>
    <row r="629" spans="12:16" x14ac:dyDescent="0.25">
      <c r="L629" s="1">
        <f t="shared" si="9"/>
        <v>0</v>
      </c>
      <c r="N629" s="6" t="str">
        <f>IF(ISERROR(VLOOKUP($A629,'Plano de Contas'!#REF!,8,FALSE)),"",VLOOKUP($A629,'Plano de Contas'!#REF!,8,FALSE))</f>
        <v/>
      </c>
      <c r="P629" s="6" t="str">
        <f>IF(ISERROR(VLOOKUP($A629,'Plano de Contas'!#REF!,10,FALSE)),"",VLOOKUP($A629,'Plano de Contas'!#REF!,10,FALSE))</f>
        <v/>
      </c>
    </row>
    <row r="630" spans="12:16" x14ac:dyDescent="0.25">
      <c r="L630" s="1">
        <f t="shared" si="9"/>
        <v>0</v>
      </c>
      <c r="N630" s="6" t="str">
        <f>IF(ISERROR(VLOOKUP($A630,'Plano de Contas'!#REF!,8,FALSE)),"",VLOOKUP($A630,'Plano de Contas'!#REF!,8,FALSE))</f>
        <v/>
      </c>
      <c r="P630" s="6" t="str">
        <f>IF(ISERROR(VLOOKUP($A630,'Plano de Contas'!#REF!,10,FALSE)),"",VLOOKUP($A630,'Plano de Contas'!#REF!,10,FALSE))</f>
        <v/>
      </c>
    </row>
    <row r="631" spans="12:16" x14ac:dyDescent="0.25">
      <c r="L631" s="1">
        <f t="shared" si="9"/>
        <v>0</v>
      </c>
      <c r="N631" s="6" t="str">
        <f>IF(ISERROR(VLOOKUP($A631,'Plano de Contas'!#REF!,8,FALSE)),"",VLOOKUP($A631,'Plano de Contas'!#REF!,8,FALSE))</f>
        <v/>
      </c>
      <c r="P631" s="6" t="str">
        <f>IF(ISERROR(VLOOKUP($A631,'Plano de Contas'!#REF!,10,FALSE)),"",VLOOKUP($A631,'Plano de Contas'!#REF!,10,FALSE))</f>
        <v/>
      </c>
    </row>
    <row r="632" spans="12:16" x14ac:dyDescent="0.25">
      <c r="L632" s="1">
        <f t="shared" si="9"/>
        <v>0</v>
      </c>
      <c r="N632" s="6" t="str">
        <f>IF(ISERROR(VLOOKUP($A632,'Plano de Contas'!#REF!,8,FALSE)),"",VLOOKUP($A632,'Plano de Contas'!#REF!,8,FALSE))</f>
        <v/>
      </c>
      <c r="P632" s="6" t="str">
        <f>IF(ISERROR(VLOOKUP($A632,'Plano de Contas'!#REF!,10,FALSE)),"",VLOOKUP($A632,'Plano de Contas'!#REF!,10,FALSE))</f>
        <v/>
      </c>
    </row>
    <row r="633" spans="12:16" x14ac:dyDescent="0.25">
      <c r="L633" s="1">
        <f t="shared" si="9"/>
        <v>0</v>
      </c>
      <c r="N633" s="6" t="str">
        <f>IF(ISERROR(VLOOKUP($A633,'Plano de Contas'!#REF!,8,FALSE)),"",VLOOKUP($A633,'Plano de Contas'!#REF!,8,FALSE))</f>
        <v/>
      </c>
      <c r="P633" s="6" t="str">
        <f>IF(ISERROR(VLOOKUP($A633,'Plano de Contas'!#REF!,10,FALSE)),"",VLOOKUP($A633,'Plano de Contas'!#REF!,10,FALSE))</f>
        <v/>
      </c>
    </row>
    <row r="634" spans="12:16" x14ac:dyDescent="0.25">
      <c r="L634" s="1">
        <f t="shared" si="9"/>
        <v>0</v>
      </c>
      <c r="N634" s="6" t="str">
        <f>IF(ISERROR(VLOOKUP($A634,'Plano de Contas'!#REF!,8,FALSE)),"",VLOOKUP($A634,'Plano de Contas'!#REF!,8,FALSE))</f>
        <v/>
      </c>
      <c r="P634" s="6" t="str">
        <f>IF(ISERROR(VLOOKUP($A634,'Plano de Contas'!#REF!,10,FALSE)),"",VLOOKUP($A634,'Plano de Contas'!#REF!,10,FALSE))</f>
        <v/>
      </c>
    </row>
    <row r="635" spans="12:16" x14ac:dyDescent="0.25">
      <c r="L635" s="1">
        <f t="shared" si="9"/>
        <v>0</v>
      </c>
      <c r="N635" s="6" t="str">
        <f>IF(ISERROR(VLOOKUP($A635,'Plano de Contas'!#REF!,8,FALSE)),"",VLOOKUP($A635,'Plano de Contas'!#REF!,8,FALSE))</f>
        <v/>
      </c>
      <c r="P635" s="6" t="str">
        <f>IF(ISERROR(VLOOKUP($A635,'Plano de Contas'!#REF!,10,FALSE)),"",VLOOKUP($A635,'Plano de Contas'!#REF!,10,FALSE))</f>
        <v/>
      </c>
    </row>
    <row r="636" spans="12:16" x14ac:dyDescent="0.25">
      <c r="L636" s="1">
        <f t="shared" si="9"/>
        <v>0</v>
      </c>
      <c r="N636" s="6" t="str">
        <f>IF(ISERROR(VLOOKUP($A636,'Plano de Contas'!#REF!,8,FALSE)),"",VLOOKUP($A636,'Plano de Contas'!#REF!,8,FALSE))</f>
        <v/>
      </c>
      <c r="P636" s="6" t="str">
        <f>IF(ISERROR(VLOOKUP($A636,'Plano de Contas'!#REF!,10,FALSE)),"",VLOOKUP($A636,'Plano de Contas'!#REF!,10,FALSE))</f>
        <v/>
      </c>
    </row>
    <row r="637" spans="12:16" x14ac:dyDescent="0.25">
      <c r="L637" s="1">
        <f t="shared" si="9"/>
        <v>0</v>
      </c>
      <c r="N637" s="6" t="str">
        <f>IF(ISERROR(VLOOKUP($A637,'Plano de Contas'!#REF!,8,FALSE)),"",VLOOKUP($A637,'Plano de Contas'!#REF!,8,FALSE))</f>
        <v/>
      </c>
      <c r="P637" s="6" t="str">
        <f>IF(ISERROR(VLOOKUP($A637,'Plano de Contas'!#REF!,10,FALSE)),"",VLOOKUP($A637,'Plano de Contas'!#REF!,10,FALSE))</f>
        <v/>
      </c>
    </row>
    <row r="638" spans="12:16" x14ac:dyDescent="0.25">
      <c r="L638" s="1">
        <f t="shared" si="9"/>
        <v>0</v>
      </c>
      <c r="N638" s="6" t="str">
        <f>IF(ISERROR(VLOOKUP($A638,'Plano de Contas'!#REF!,8,FALSE)),"",VLOOKUP($A638,'Plano de Contas'!#REF!,8,FALSE))</f>
        <v/>
      </c>
      <c r="P638" s="6" t="str">
        <f>IF(ISERROR(VLOOKUP($A638,'Plano de Contas'!#REF!,10,FALSE)),"",VLOOKUP($A638,'Plano de Contas'!#REF!,10,FALSE))</f>
        <v/>
      </c>
    </row>
    <row r="639" spans="12:16" x14ac:dyDescent="0.25">
      <c r="L639" s="1">
        <f t="shared" si="9"/>
        <v>0</v>
      </c>
      <c r="N639" s="6" t="str">
        <f>IF(ISERROR(VLOOKUP($A639,'Plano de Contas'!#REF!,8,FALSE)),"",VLOOKUP($A639,'Plano de Contas'!#REF!,8,FALSE))</f>
        <v/>
      </c>
      <c r="P639" s="6" t="str">
        <f>IF(ISERROR(VLOOKUP($A639,'Plano de Contas'!#REF!,10,FALSE)),"",VLOOKUP($A639,'Plano de Contas'!#REF!,10,FALSE))</f>
        <v/>
      </c>
    </row>
    <row r="640" spans="12:16" x14ac:dyDescent="0.25">
      <c r="L640" s="1">
        <f t="shared" si="9"/>
        <v>0</v>
      </c>
      <c r="N640" s="6" t="str">
        <f>IF(ISERROR(VLOOKUP($A640,'Plano de Contas'!#REF!,8,FALSE)),"",VLOOKUP($A640,'Plano de Contas'!#REF!,8,FALSE))</f>
        <v/>
      </c>
      <c r="P640" s="6" t="str">
        <f>IF(ISERROR(VLOOKUP($A640,'Plano de Contas'!#REF!,10,FALSE)),"",VLOOKUP($A640,'Plano de Contas'!#REF!,10,FALSE))</f>
        <v/>
      </c>
    </row>
    <row r="641" spans="12:16" x14ac:dyDescent="0.25">
      <c r="L641" s="1">
        <f t="shared" si="9"/>
        <v>0</v>
      </c>
      <c r="N641" s="6" t="str">
        <f>IF(ISERROR(VLOOKUP($A641,'Plano de Contas'!#REF!,8,FALSE)),"",VLOOKUP($A641,'Plano de Contas'!#REF!,8,FALSE))</f>
        <v/>
      </c>
      <c r="P641" s="6" t="str">
        <f>IF(ISERROR(VLOOKUP($A641,'Plano de Contas'!#REF!,10,FALSE)),"",VLOOKUP($A641,'Plano de Contas'!#REF!,10,FALSE))</f>
        <v/>
      </c>
    </row>
    <row r="642" spans="12:16" x14ac:dyDescent="0.25">
      <c r="L642" s="1">
        <f t="shared" si="9"/>
        <v>0</v>
      </c>
      <c r="N642" s="6" t="str">
        <f>IF(ISERROR(VLOOKUP($A642,'Plano de Contas'!#REF!,8,FALSE)),"",VLOOKUP($A642,'Plano de Contas'!#REF!,8,FALSE))</f>
        <v/>
      </c>
      <c r="P642" s="6" t="str">
        <f>IF(ISERROR(VLOOKUP($A642,'Plano de Contas'!#REF!,10,FALSE)),"",VLOOKUP($A642,'Plano de Contas'!#REF!,10,FALSE))</f>
        <v/>
      </c>
    </row>
    <row r="643" spans="12:16" x14ac:dyDescent="0.25">
      <c r="L643" s="1">
        <f t="shared" si="9"/>
        <v>0</v>
      </c>
      <c r="N643" s="6" t="str">
        <f>IF(ISERROR(VLOOKUP($A643,'Plano de Contas'!#REF!,8,FALSE)),"",VLOOKUP($A643,'Plano de Contas'!#REF!,8,FALSE))</f>
        <v/>
      </c>
      <c r="P643" s="6" t="str">
        <f>IF(ISERROR(VLOOKUP($A643,'Plano de Contas'!#REF!,10,FALSE)),"",VLOOKUP($A643,'Plano de Contas'!#REF!,10,FALSE))</f>
        <v/>
      </c>
    </row>
    <row r="644" spans="12:16" x14ac:dyDescent="0.25">
      <c r="L644" s="1">
        <f t="shared" si="9"/>
        <v>0</v>
      </c>
      <c r="N644" s="6" t="str">
        <f>IF(ISERROR(VLOOKUP($A644,'Plano de Contas'!#REF!,8,FALSE)),"",VLOOKUP($A644,'Plano de Contas'!#REF!,8,FALSE))</f>
        <v/>
      </c>
      <c r="P644" s="6" t="str">
        <f>IF(ISERROR(VLOOKUP($A644,'Plano de Contas'!#REF!,10,FALSE)),"",VLOOKUP($A644,'Plano de Contas'!#REF!,10,FALSE))</f>
        <v/>
      </c>
    </row>
    <row r="645" spans="12:16" x14ac:dyDescent="0.25">
      <c r="L645" s="1">
        <f t="shared" si="9"/>
        <v>0</v>
      </c>
      <c r="N645" s="6" t="str">
        <f>IF(ISERROR(VLOOKUP($A645,'Plano de Contas'!#REF!,8,FALSE)),"",VLOOKUP($A645,'Plano de Contas'!#REF!,8,FALSE))</f>
        <v/>
      </c>
      <c r="P645" s="6" t="str">
        <f>IF(ISERROR(VLOOKUP($A645,'Plano de Contas'!#REF!,10,FALSE)),"",VLOOKUP($A645,'Plano de Contas'!#REF!,10,FALSE))</f>
        <v/>
      </c>
    </row>
    <row r="646" spans="12:16" x14ac:dyDescent="0.25">
      <c r="L646" s="1">
        <f t="shared" si="9"/>
        <v>0</v>
      </c>
      <c r="N646" s="6" t="str">
        <f>IF(ISERROR(VLOOKUP($A646,'Plano de Contas'!#REF!,8,FALSE)),"",VLOOKUP($A646,'Plano de Contas'!#REF!,8,FALSE))</f>
        <v/>
      </c>
      <c r="P646" s="6" t="str">
        <f>IF(ISERROR(VLOOKUP($A646,'Plano de Contas'!#REF!,10,FALSE)),"",VLOOKUP($A646,'Plano de Contas'!#REF!,10,FALSE))</f>
        <v/>
      </c>
    </row>
    <row r="647" spans="12:16" x14ac:dyDescent="0.25">
      <c r="L647" s="1">
        <f t="shared" si="9"/>
        <v>0</v>
      </c>
      <c r="N647" s="6" t="str">
        <f>IF(ISERROR(VLOOKUP($A647,'Plano de Contas'!#REF!,8,FALSE)),"",VLOOKUP($A647,'Plano de Contas'!#REF!,8,FALSE))</f>
        <v/>
      </c>
      <c r="P647" s="6" t="str">
        <f>IF(ISERROR(VLOOKUP($A647,'Plano de Contas'!#REF!,10,FALSE)),"",VLOOKUP($A647,'Plano de Contas'!#REF!,10,FALSE))</f>
        <v/>
      </c>
    </row>
    <row r="648" spans="12:16" x14ac:dyDescent="0.25">
      <c r="L648" s="1">
        <f t="shared" si="9"/>
        <v>0</v>
      </c>
      <c r="N648" s="6" t="str">
        <f>IF(ISERROR(VLOOKUP($A648,'Plano de Contas'!#REF!,8,FALSE)),"",VLOOKUP($A648,'Plano de Contas'!#REF!,8,FALSE))</f>
        <v/>
      </c>
      <c r="P648" s="6" t="str">
        <f>IF(ISERROR(VLOOKUP($A648,'Plano de Contas'!#REF!,10,FALSE)),"",VLOOKUP($A648,'Plano de Contas'!#REF!,10,FALSE))</f>
        <v/>
      </c>
    </row>
    <row r="649" spans="12:16" x14ac:dyDescent="0.25">
      <c r="L649" s="1">
        <f t="shared" si="9"/>
        <v>0</v>
      </c>
      <c r="N649" s="6" t="str">
        <f>IF(ISERROR(VLOOKUP($A649,'Plano de Contas'!#REF!,8,FALSE)),"",VLOOKUP($A649,'Plano de Contas'!#REF!,8,FALSE))</f>
        <v/>
      </c>
      <c r="P649" s="6" t="str">
        <f>IF(ISERROR(VLOOKUP($A649,'Plano de Contas'!#REF!,10,FALSE)),"",VLOOKUP($A649,'Plano de Contas'!#REF!,10,FALSE))</f>
        <v/>
      </c>
    </row>
    <row r="650" spans="12:16" x14ac:dyDescent="0.25">
      <c r="L650" s="1">
        <f t="shared" si="9"/>
        <v>0</v>
      </c>
      <c r="N650" s="6" t="str">
        <f>IF(ISERROR(VLOOKUP($A650,'Plano de Contas'!#REF!,8,FALSE)),"",VLOOKUP($A650,'Plano de Contas'!#REF!,8,FALSE))</f>
        <v/>
      </c>
      <c r="P650" s="6" t="str">
        <f>IF(ISERROR(VLOOKUP($A650,'Plano de Contas'!#REF!,10,FALSE)),"",VLOOKUP($A650,'Plano de Contas'!#REF!,10,FALSE))</f>
        <v/>
      </c>
    </row>
    <row r="651" spans="12:16" x14ac:dyDescent="0.25">
      <c r="L651" s="1">
        <f t="shared" si="9"/>
        <v>0</v>
      </c>
      <c r="N651" s="6" t="str">
        <f>IF(ISERROR(VLOOKUP($A651,'Plano de Contas'!#REF!,8,FALSE)),"",VLOOKUP($A651,'Plano de Contas'!#REF!,8,FALSE))</f>
        <v/>
      </c>
      <c r="P651" s="6" t="str">
        <f>IF(ISERROR(VLOOKUP($A651,'Plano de Contas'!#REF!,10,FALSE)),"",VLOOKUP($A651,'Plano de Contas'!#REF!,10,FALSE))</f>
        <v/>
      </c>
    </row>
    <row r="652" spans="12:16" x14ac:dyDescent="0.25">
      <c r="L652" s="1">
        <f t="shared" ref="L652:L715" si="10">IF(K652="-",-J652,J652)</f>
        <v>0</v>
      </c>
      <c r="N652" s="6" t="str">
        <f>IF(ISERROR(VLOOKUP($A652,'Plano de Contas'!#REF!,8,FALSE)),"",VLOOKUP($A652,'Plano de Contas'!#REF!,8,FALSE))</f>
        <v/>
      </c>
      <c r="P652" s="6" t="str">
        <f>IF(ISERROR(VLOOKUP($A652,'Plano de Contas'!#REF!,10,FALSE)),"",VLOOKUP($A652,'Plano de Contas'!#REF!,10,FALSE))</f>
        <v/>
      </c>
    </row>
    <row r="653" spans="12:16" x14ac:dyDescent="0.25">
      <c r="L653" s="1">
        <f t="shared" si="10"/>
        <v>0</v>
      </c>
      <c r="N653" s="6" t="str">
        <f>IF(ISERROR(VLOOKUP($A653,'Plano de Contas'!#REF!,8,FALSE)),"",VLOOKUP($A653,'Plano de Contas'!#REF!,8,FALSE))</f>
        <v/>
      </c>
      <c r="P653" s="6" t="str">
        <f>IF(ISERROR(VLOOKUP($A653,'Plano de Contas'!#REF!,10,FALSE)),"",VLOOKUP($A653,'Plano de Contas'!#REF!,10,FALSE))</f>
        <v/>
      </c>
    </row>
    <row r="654" spans="12:16" x14ac:dyDescent="0.25">
      <c r="L654" s="1">
        <f t="shared" si="10"/>
        <v>0</v>
      </c>
      <c r="N654" s="6" t="str">
        <f>IF(ISERROR(VLOOKUP($A654,'Plano de Contas'!#REF!,8,FALSE)),"",VLOOKUP($A654,'Plano de Contas'!#REF!,8,FALSE))</f>
        <v/>
      </c>
      <c r="P654" s="6" t="str">
        <f>IF(ISERROR(VLOOKUP($A654,'Plano de Contas'!#REF!,10,FALSE)),"",VLOOKUP($A654,'Plano de Contas'!#REF!,10,FALSE))</f>
        <v/>
      </c>
    </row>
    <row r="655" spans="12:16" x14ac:dyDescent="0.25">
      <c r="L655" s="1">
        <f t="shared" si="10"/>
        <v>0</v>
      </c>
      <c r="N655" s="6" t="str">
        <f>IF(ISERROR(VLOOKUP($A655,'Plano de Contas'!#REF!,8,FALSE)),"",VLOOKUP($A655,'Plano de Contas'!#REF!,8,FALSE))</f>
        <v/>
      </c>
      <c r="P655" s="6" t="str">
        <f>IF(ISERROR(VLOOKUP($A655,'Plano de Contas'!#REF!,10,FALSE)),"",VLOOKUP($A655,'Plano de Contas'!#REF!,10,FALSE))</f>
        <v/>
      </c>
    </row>
    <row r="656" spans="12:16" x14ac:dyDescent="0.25">
      <c r="L656" s="1">
        <f t="shared" si="10"/>
        <v>0</v>
      </c>
      <c r="N656" s="6" t="str">
        <f>IF(ISERROR(VLOOKUP($A656,'Plano de Contas'!#REF!,8,FALSE)),"",VLOOKUP($A656,'Plano de Contas'!#REF!,8,FALSE))</f>
        <v/>
      </c>
      <c r="P656" s="6" t="str">
        <f>IF(ISERROR(VLOOKUP($A656,'Plano de Contas'!#REF!,10,FALSE)),"",VLOOKUP($A656,'Plano de Contas'!#REF!,10,FALSE))</f>
        <v/>
      </c>
    </row>
    <row r="657" spans="12:16" x14ac:dyDescent="0.25">
      <c r="L657" s="1">
        <f t="shared" si="10"/>
        <v>0</v>
      </c>
      <c r="N657" s="6" t="str">
        <f>IF(ISERROR(VLOOKUP($A657,'Plano de Contas'!#REF!,8,FALSE)),"",VLOOKUP($A657,'Plano de Contas'!#REF!,8,FALSE))</f>
        <v/>
      </c>
      <c r="P657" s="6" t="str">
        <f>IF(ISERROR(VLOOKUP($A657,'Plano de Contas'!#REF!,10,FALSE)),"",VLOOKUP($A657,'Plano de Contas'!#REF!,10,FALSE))</f>
        <v/>
      </c>
    </row>
    <row r="658" spans="12:16" x14ac:dyDescent="0.25">
      <c r="L658" s="1">
        <f t="shared" si="10"/>
        <v>0</v>
      </c>
      <c r="N658" s="6" t="str">
        <f>IF(ISERROR(VLOOKUP($A658,'Plano de Contas'!#REF!,8,FALSE)),"",VLOOKUP($A658,'Plano de Contas'!#REF!,8,FALSE))</f>
        <v/>
      </c>
      <c r="P658" s="6" t="str">
        <f>IF(ISERROR(VLOOKUP($A658,'Plano de Contas'!#REF!,10,FALSE)),"",VLOOKUP($A658,'Plano de Contas'!#REF!,10,FALSE))</f>
        <v/>
      </c>
    </row>
    <row r="659" spans="12:16" x14ac:dyDescent="0.25">
      <c r="L659" s="1">
        <f t="shared" si="10"/>
        <v>0</v>
      </c>
      <c r="N659" s="6" t="str">
        <f>IF(ISERROR(VLOOKUP($A659,'Plano de Contas'!#REF!,8,FALSE)),"",VLOOKUP($A659,'Plano de Contas'!#REF!,8,FALSE))</f>
        <v/>
      </c>
      <c r="P659" s="6" t="str">
        <f>IF(ISERROR(VLOOKUP($A659,'Plano de Contas'!#REF!,10,FALSE)),"",VLOOKUP($A659,'Plano de Contas'!#REF!,10,FALSE))</f>
        <v/>
      </c>
    </row>
    <row r="660" spans="12:16" x14ac:dyDescent="0.25">
      <c r="L660" s="1">
        <f t="shared" si="10"/>
        <v>0</v>
      </c>
      <c r="N660" s="6" t="str">
        <f>IF(ISERROR(VLOOKUP($A660,'Plano de Contas'!#REF!,8,FALSE)),"",VLOOKUP($A660,'Plano de Contas'!#REF!,8,FALSE))</f>
        <v/>
      </c>
      <c r="P660" s="6" t="str">
        <f>IF(ISERROR(VLOOKUP($A660,'Plano de Contas'!#REF!,10,FALSE)),"",VLOOKUP($A660,'Plano de Contas'!#REF!,10,FALSE))</f>
        <v/>
      </c>
    </row>
    <row r="661" spans="12:16" x14ac:dyDescent="0.25">
      <c r="L661" s="1">
        <f t="shared" si="10"/>
        <v>0</v>
      </c>
      <c r="N661" s="6" t="str">
        <f>IF(ISERROR(VLOOKUP($A661,'Plano de Contas'!#REF!,8,FALSE)),"",VLOOKUP($A661,'Plano de Contas'!#REF!,8,FALSE))</f>
        <v/>
      </c>
      <c r="P661" s="6" t="str">
        <f>IF(ISERROR(VLOOKUP($A661,'Plano de Contas'!#REF!,10,FALSE)),"",VLOOKUP($A661,'Plano de Contas'!#REF!,10,FALSE))</f>
        <v/>
      </c>
    </row>
    <row r="662" spans="12:16" x14ac:dyDescent="0.25">
      <c r="L662" s="1">
        <f t="shared" si="10"/>
        <v>0</v>
      </c>
      <c r="N662" s="6" t="str">
        <f>IF(ISERROR(VLOOKUP($A662,'Plano de Contas'!#REF!,8,FALSE)),"",VLOOKUP($A662,'Plano de Contas'!#REF!,8,FALSE))</f>
        <v/>
      </c>
      <c r="P662" s="6" t="str">
        <f>IF(ISERROR(VLOOKUP($A662,'Plano de Contas'!#REF!,10,FALSE)),"",VLOOKUP($A662,'Plano de Contas'!#REF!,10,FALSE))</f>
        <v/>
      </c>
    </row>
    <row r="663" spans="12:16" x14ac:dyDescent="0.25">
      <c r="L663" s="1">
        <f t="shared" si="10"/>
        <v>0</v>
      </c>
      <c r="N663" s="6" t="str">
        <f>IF(ISERROR(VLOOKUP($A663,'Plano de Contas'!#REF!,8,FALSE)),"",VLOOKUP($A663,'Plano de Contas'!#REF!,8,FALSE))</f>
        <v/>
      </c>
      <c r="P663" s="6" t="str">
        <f>IF(ISERROR(VLOOKUP($A663,'Plano de Contas'!#REF!,10,FALSE)),"",VLOOKUP($A663,'Plano de Contas'!#REF!,10,FALSE))</f>
        <v/>
      </c>
    </row>
    <row r="664" spans="12:16" x14ac:dyDescent="0.25">
      <c r="L664" s="1">
        <f t="shared" si="10"/>
        <v>0</v>
      </c>
      <c r="N664" s="6" t="str">
        <f>IF(ISERROR(VLOOKUP($A664,'Plano de Contas'!#REF!,8,FALSE)),"",VLOOKUP($A664,'Plano de Contas'!#REF!,8,FALSE))</f>
        <v/>
      </c>
      <c r="P664" s="6" t="str">
        <f>IF(ISERROR(VLOOKUP($A664,'Plano de Contas'!#REF!,10,FALSE)),"",VLOOKUP($A664,'Plano de Contas'!#REF!,10,FALSE))</f>
        <v/>
      </c>
    </row>
    <row r="665" spans="12:16" x14ac:dyDescent="0.25">
      <c r="L665" s="1">
        <f t="shared" si="10"/>
        <v>0</v>
      </c>
      <c r="N665" s="6" t="str">
        <f>IF(ISERROR(VLOOKUP($A665,'Plano de Contas'!#REF!,8,FALSE)),"",VLOOKUP($A665,'Plano de Contas'!#REF!,8,FALSE))</f>
        <v/>
      </c>
      <c r="P665" s="6" t="str">
        <f>IF(ISERROR(VLOOKUP($A665,'Plano de Contas'!#REF!,10,FALSE)),"",VLOOKUP($A665,'Plano de Contas'!#REF!,10,FALSE))</f>
        <v/>
      </c>
    </row>
    <row r="666" spans="12:16" x14ac:dyDescent="0.25">
      <c r="L666" s="1">
        <f t="shared" si="10"/>
        <v>0</v>
      </c>
      <c r="N666" s="6" t="str">
        <f>IF(ISERROR(VLOOKUP($A666,'Plano de Contas'!#REF!,8,FALSE)),"",VLOOKUP($A666,'Plano de Contas'!#REF!,8,FALSE))</f>
        <v/>
      </c>
      <c r="P666" s="6" t="str">
        <f>IF(ISERROR(VLOOKUP($A666,'Plano de Contas'!#REF!,10,FALSE)),"",VLOOKUP($A666,'Plano de Contas'!#REF!,10,FALSE))</f>
        <v/>
      </c>
    </row>
    <row r="667" spans="12:16" x14ac:dyDescent="0.25">
      <c r="L667" s="1">
        <f t="shared" si="10"/>
        <v>0</v>
      </c>
      <c r="N667" s="6" t="str">
        <f>IF(ISERROR(VLOOKUP($A667,'Plano de Contas'!#REF!,8,FALSE)),"",VLOOKUP($A667,'Plano de Contas'!#REF!,8,FALSE))</f>
        <v/>
      </c>
      <c r="P667" s="6" t="str">
        <f>IF(ISERROR(VLOOKUP($A667,'Plano de Contas'!#REF!,10,FALSE)),"",VLOOKUP($A667,'Plano de Contas'!#REF!,10,FALSE))</f>
        <v/>
      </c>
    </row>
    <row r="668" spans="12:16" x14ac:dyDescent="0.25">
      <c r="L668" s="1">
        <f t="shared" si="10"/>
        <v>0</v>
      </c>
      <c r="N668" s="6" t="str">
        <f>IF(ISERROR(VLOOKUP($A668,'Plano de Contas'!#REF!,8,FALSE)),"",VLOOKUP($A668,'Plano de Contas'!#REF!,8,FALSE))</f>
        <v/>
      </c>
      <c r="P668" s="6" t="str">
        <f>IF(ISERROR(VLOOKUP($A668,'Plano de Contas'!#REF!,10,FALSE)),"",VLOOKUP($A668,'Plano de Contas'!#REF!,10,FALSE))</f>
        <v/>
      </c>
    </row>
    <row r="669" spans="12:16" x14ac:dyDescent="0.25">
      <c r="L669" s="1">
        <f t="shared" si="10"/>
        <v>0</v>
      </c>
      <c r="N669" s="6" t="str">
        <f>IF(ISERROR(VLOOKUP($A669,'Plano de Contas'!#REF!,8,FALSE)),"",VLOOKUP($A669,'Plano de Contas'!#REF!,8,FALSE))</f>
        <v/>
      </c>
      <c r="P669" s="6" t="str">
        <f>IF(ISERROR(VLOOKUP($A669,'Plano de Contas'!#REF!,10,FALSE)),"",VLOOKUP($A669,'Plano de Contas'!#REF!,10,FALSE))</f>
        <v/>
      </c>
    </row>
    <row r="670" spans="12:16" x14ac:dyDescent="0.25">
      <c r="L670" s="1">
        <f t="shared" si="10"/>
        <v>0</v>
      </c>
      <c r="N670" s="6" t="str">
        <f>IF(ISERROR(VLOOKUP($A670,'Plano de Contas'!#REF!,8,FALSE)),"",VLOOKUP($A670,'Plano de Contas'!#REF!,8,FALSE))</f>
        <v/>
      </c>
      <c r="P670" s="6" t="str">
        <f>IF(ISERROR(VLOOKUP($A670,'Plano de Contas'!#REF!,10,FALSE)),"",VLOOKUP($A670,'Plano de Contas'!#REF!,10,FALSE))</f>
        <v/>
      </c>
    </row>
    <row r="671" spans="12:16" x14ac:dyDescent="0.25">
      <c r="L671" s="1">
        <f t="shared" si="10"/>
        <v>0</v>
      </c>
      <c r="N671" s="6" t="str">
        <f>IF(ISERROR(VLOOKUP($A671,'Plano de Contas'!#REF!,8,FALSE)),"",VLOOKUP($A671,'Plano de Contas'!#REF!,8,FALSE))</f>
        <v/>
      </c>
      <c r="P671" s="6" t="str">
        <f>IF(ISERROR(VLOOKUP($A671,'Plano de Contas'!#REF!,10,FALSE)),"",VLOOKUP($A671,'Plano de Contas'!#REF!,10,FALSE))</f>
        <v/>
      </c>
    </row>
    <row r="672" spans="12:16" x14ac:dyDescent="0.25">
      <c r="L672" s="1">
        <f t="shared" si="10"/>
        <v>0</v>
      </c>
      <c r="N672" s="6" t="str">
        <f>IF(ISERROR(VLOOKUP($A672,'Plano de Contas'!#REF!,8,FALSE)),"",VLOOKUP($A672,'Plano de Contas'!#REF!,8,FALSE))</f>
        <v/>
      </c>
      <c r="P672" s="6" t="str">
        <f>IF(ISERROR(VLOOKUP($A672,'Plano de Contas'!#REF!,10,FALSE)),"",VLOOKUP($A672,'Plano de Contas'!#REF!,10,FALSE))</f>
        <v/>
      </c>
    </row>
    <row r="673" spans="12:16" x14ac:dyDescent="0.25">
      <c r="L673" s="1">
        <f t="shared" si="10"/>
        <v>0</v>
      </c>
      <c r="N673" s="6" t="str">
        <f>IF(ISERROR(VLOOKUP($A673,'Plano de Contas'!#REF!,8,FALSE)),"",VLOOKUP($A673,'Plano de Contas'!#REF!,8,FALSE))</f>
        <v/>
      </c>
      <c r="P673" s="6" t="str">
        <f>IF(ISERROR(VLOOKUP($A673,'Plano de Contas'!#REF!,10,FALSE)),"",VLOOKUP($A673,'Plano de Contas'!#REF!,10,FALSE))</f>
        <v/>
      </c>
    </row>
    <row r="674" spans="12:16" x14ac:dyDescent="0.25">
      <c r="L674" s="1">
        <f t="shared" si="10"/>
        <v>0</v>
      </c>
      <c r="N674" s="6" t="str">
        <f>IF(ISERROR(VLOOKUP($A674,'Plano de Contas'!#REF!,8,FALSE)),"",VLOOKUP($A674,'Plano de Contas'!#REF!,8,FALSE))</f>
        <v/>
      </c>
      <c r="P674" s="6" t="str">
        <f>IF(ISERROR(VLOOKUP($A674,'Plano de Contas'!#REF!,10,FALSE)),"",VLOOKUP($A674,'Plano de Contas'!#REF!,10,FALSE))</f>
        <v/>
      </c>
    </row>
    <row r="675" spans="12:16" x14ac:dyDescent="0.25">
      <c r="L675" s="1">
        <f t="shared" si="10"/>
        <v>0</v>
      </c>
      <c r="N675" s="6" t="str">
        <f>IF(ISERROR(VLOOKUP($A675,'Plano de Contas'!#REF!,8,FALSE)),"",VLOOKUP($A675,'Plano de Contas'!#REF!,8,FALSE))</f>
        <v/>
      </c>
      <c r="P675" s="6" t="str">
        <f>IF(ISERROR(VLOOKUP($A675,'Plano de Contas'!#REF!,10,FALSE)),"",VLOOKUP($A675,'Plano de Contas'!#REF!,10,FALSE))</f>
        <v/>
      </c>
    </row>
    <row r="676" spans="12:16" x14ac:dyDescent="0.25">
      <c r="L676" s="1">
        <f t="shared" si="10"/>
        <v>0</v>
      </c>
      <c r="N676" s="6" t="str">
        <f>IF(ISERROR(VLOOKUP($A676,'Plano de Contas'!#REF!,8,FALSE)),"",VLOOKUP($A676,'Plano de Contas'!#REF!,8,FALSE))</f>
        <v/>
      </c>
      <c r="P676" s="6" t="str">
        <f>IF(ISERROR(VLOOKUP($A676,'Plano de Contas'!#REF!,10,FALSE)),"",VLOOKUP($A676,'Plano de Contas'!#REF!,10,FALSE))</f>
        <v/>
      </c>
    </row>
    <row r="677" spans="12:16" x14ac:dyDescent="0.25">
      <c r="L677" s="1">
        <f t="shared" si="10"/>
        <v>0</v>
      </c>
      <c r="N677" s="6" t="str">
        <f>IF(ISERROR(VLOOKUP($A677,'Plano de Contas'!#REF!,8,FALSE)),"",VLOOKUP($A677,'Plano de Contas'!#REF!,8,FALSE))</f>
        <v/>
      </c>
      <c r="P677" s="6" t="str">
        <f>IF(ISERROR(VLOOKUP($A677,'Plano de Contas'!#REF!,10,FALSE)),"",VLOOKUP($A677,'Plano de Contas'!#REF!,10,FALSE))</f>
        <v/>
      </c>
    </row>
    <row r="678" spans="12:16" x14ac:dyDescent="0.25">
      <c r="L678" s="1">
        <f t="shared" si="10"/>
        <v>0</v>
      </c>
      <c r="N678" s="6" t="str">
        <f>IF(ISERROR(VLOOKUP($A678,'Plano de Contas'!#REF!,8,FALSE)),"",VLOOKUP($A678,'Plano de Contas'!#REF!,8,FALSE))</f>
        <v/>
      </c>
      <c r="P678" s="6" t="str">
        <f>IF(ISERROR(VLOOKUP($A678,'Plano de Contas'!#REF!,10,FALSE)),"",VLOOKUP($A678,'Plano de Contas'!#REF!,10,FALSE))</f>
        <v/>
      </c>
    </row>
    <row r="679" spans="12:16" x14ac:dyDescent="0.25">
      <c r="L679" s="1">
        <f t="shared" si="10"/>
        <v>0</v>
      </c>
      <c r="N679" s="6" t="str">
        <f>IF(ISERROR(VLOOKUP($A679,'Plano de Contas'!#REF!,8,FALSE)),"",VLOOKUP($A679,'Plano de Contas'!#REF!,8,FALSE))</f>
        <v/>
      </c>
      <c r="P679" s="6" t="str">
        <f>IF(ISERROR(VLOOKUP($A679,'Plano de Contas'!#REF!,10,FALSE)),"",VLOOKUP($A679,'Plano de Contas'!#REF!,10,FALSE))</f>
        <v/>
      </c>
    </row>
    <row r="680" spans="12:16" x14ac:dyDescent="0.25">
      <c r="L680" s="1">
        <f t="shared" si="10"/>
        <v>0</v>
      </c>
      <c r="N680" s="6" t="str">
        <f>IF(ISERROR(VLOOKUP($A680,'Plano de Contas'!#REF!,8,FALSE)),"",VLOOKUP($A680,'Plano de Contas'!#REF!,8,FALSE))</f>
        <v/>
      </c>
      <c r="P680" s="6" t="str">
        <f>IF(ISERROR(VLOOKUP($A680,'Plano de Contas'!#REF!,10,FALSE)),"",VLOOKUP($A680,'Plano de Contas'!#REF!,10,FALSE))</f>
        <v/>
      </c>
    </row>
    <row r="681" spans="12:16" x14ac:dyDescent="0.25">
      <c r="L681" s="1">
        <f t="shared" si="10"/>
        <v>0</v>
      </c>
      <c r="N681" s="6" t="str">
        <f>IF(ISERROR(VLOOKUP($A681,'Plano de Contas'!#REF!,8,FALSE)),"",VLOOKUP($A681,'Plano de Contas'!#REF!,8,FALSE))</f>
        <v/>
      </c>
      <c r="P681" s="6" t="str">
        <f>IF(ISERROR(VLOOKUP($A681,'Plano de Contas'!#REF!,10,FALSE)),"",VLOOKUP($A681,'Plano de Contas'!#REF!,10,FALSE))</f>
        <v/>
      </c>
    </row>
    <row r="682" spans="12:16" x14ac:dyDescent="0.25">
      <c r="L682" s="1">
        <f t="shared" si="10"/>
        <v>0</v>
      </c>
      <c r="N682" s="6" t="str">
        <f>IF(ISERROR(VLOOKUP($A682,'Plano de Contas'!#REF!,8,FALSE)),"",VLOOKUP($A682,'Plano de Contas'!#REF!,8,FALSE))</f>
        <v/>
      </c>
      <c r="P682" s="6" t="str">
        <f>IF(ISERROR(VLOOKUP($A682,'Plano de Contas'!#REF!,10,FALSE)),"",VLOOKUP($A682,'Plano de Contas'!#REF!,10,FALSE))</f>
        <v/>
      </c>
    </row>
    <row r="683" spans="12:16" x14ac:dyDescent="0.25">
      <c r="L683" s="1">
        <f t="shared" si="10"/>
        <v>0</v>
      </c>
      <c r="N683" s="6" t="str">
        <f>IF(ISERROR(VLOOKUP($A683,'Plano de Contas'!#REF!,8,FALSE)),"",VLOOKUP($A683,'Plano de Contas'!#REF!,8,FALSE))</f>
        <v/>
      </c>
      <c r="P683" s="6" t="str">
        <f>IF(ISERROR(VLOOKUP($A683,'Plano de Contas'!#REF!,10,FALSE)),"",VLOOKUP($A683,'Plano de Contas'!#REF!,10,FALSE))</f>
        <v/>
      </c>
    </row>
    <row r="684" spans="12:16" x14ac:dyDescent="0.25">
      <c r="L684" s="1">
        <f t="shared" si="10"/>
        <v>0</v>
      </c>
      <c r="N684" s="6" t="str">
        <f>IF(ISERROR(VLOOKUP($A684,'Plano de Contas'!#REF!,8,FALSE)),"",VLOOKUP($A684,'Plano de Contas'!#REF!,8,FALSE))</f>
        <v/>
      </c>
      <c r="P684" s="6" t="str">
        <f>IF(ISERROR(VLOOKUP($A684,'Plano de Contas'!#REF!,10,FALSE)),"",VLOOKUP($A684,'Plano de Contas'!#REF!,10,FALSE))</f>
        <v/>
      </c>
    </row>
    <row r="685" spans="12:16" x14ac:dyDescent="0.25">
      <c r="L685" s="1">
        <f t="shared" si="10"/>
        <v>0</v>
      </c>
      <c r="N685" s="6" t="str">
        <f>IF(ISERROR(VLOOKUP($A685,'Plano de Contas'!#REF!,8,FALSE)),"",VLOOKUP($A685,'Plano de Contas'!#REF!,8,FALSE))</f>
        <v/>
      </c>
      <c r="P685" s="6" t="str">
        <f>IF(ISERROR(VLOOKUP($A685,'Plano de Contas'!#REF!,10,FALSE)),"",VLOOKUP($A685,'Plano de Contas'!#REF!,10,FALSE))</f>
        <v/>
      </c>
    </row>
    <row r="686" spans="12:16" x14ac:dyDescent="0.25">
      <c r="L686" s="1">
        <f t="shared" si="10"/>
        <v>0</v>
      </c>
      <c r="N686" s="6" t="str">
        <f>IF(ISERROR(VLOOKUP($A686,'Plano de Contas'!#REF!,8,FALSE)),"",VLOOKUP($A686,'Plano de Contas'!#REF!,8,FALSE))</f>
        <v/>
      </c>
      <c r="P686" s="6" t="str">
        <f>IF(ISERROR(VLOOKUP($A686,'Plano de Contas'!#REF!,10,FALSE)),"",VLOOKUP($A686,'Plano de Contas'!#REF!,10,FALSE))</f>
        <v/>
      </c>
    </row>
    <row r="687" spans="12:16" x14ac:dyDescent="0.25">
      <c r="L687" s="1">
        <f t="shared" si="10"/>
        <v>0</v>
      </c>
      <c r="N687" s="6" t="str">
        <f>IF(ISERROR(VLOOKUP($A687,'Plano de Contas'!#REF!,8,FALSE)),"",VLOOKUP($A687,'Plano de Contas'!#REF!,8,FALSE))</f>
        <v/>
      </c>
      <c r="P687" s="6" t="str">
        <f>IF(ISERROR(VLOOKUP($A687,'Plano de Contas'!#REF!,10,FALSE)),"",VLOOKUP($A687,'Plano de Contas'!#REF!,10,FALSE))</f>
        <v/>
      </c>
    </row>
    <row r="688" spans="12:16" x14ac:dyDescent="0.25">
      <c r="L688" s="1">
        <f t="shared" si="10"/>
        <v>0</v>
      </c>
      <c r="N688" s="6" t="str">
        <f>IF(ISERROR(VLOOKUP($A688,'Plano de Contas'!#REF!,8,FALSE)),"",VLOOKUP($A688,'Plano de Contas'!#REF!,8,FALSE))</f>
        <v/>
      </c>
      <c r="P688" s="6" t="str">
        <f>IF(ISERROR(VLOOKUP($A688,'Plano de Contas'!#REF!,10,FALSE)),"",VLOOKUP($A688,'Plano de Contas'!#REF!,10,FALSE))</f>
        <v/>
      </c>
    </row>
    <row r="689" spans="12:16" x14ac:dyDescent="0.25">
      <c r="L689" s="1">
        <f t="shared" si="10"/>
        <v>0</v>
      </c>
      <c r="N689" s="6" t="str">
        <f>IF(ISERROR(VLOOKUP($A689,'Plano de Contas'!#REF!,8,FALSE)),"",VLOOKUP($A689,'Plano de Contas'!#REF!,8,FALSE))</f>
        <v/>
      </c>
      <c r="P689" s="6" t="str">
        <f>IF(ISERROR(VLOOKUP($A689,'Plano de Contas'!#REF!,10,FALSE)),"",VLOOKUP($A689,'Plano de Contas'!#REF!,10,FALSE))</f>
        <v/>
      </c>
    </row>
    <row r="690" spans="12:16" x14ac:dyDescent="0.25">
      <c r="L690" s="1">
        <f t="shared" si="10"/>
        <v>0</v>
      </c>
      <c r="N690" s="6" t="str">
        <f>IF(ISERROR(VLOOKUP($A690,'Plano de Contas'!#REF!,8,FALSE)),"",VLOOKUP($A690,'Plano de Contas'!#REF!,8,FALSE))</f>
        <v/>
      </c>
      <c r="P690" s="6" t="str">
        <f>IF(ISERROR(VLOOKUP($A690,'Plano de Contas'!#REF!,10,FALSE)),"",VLOOKUP($A690,'Plano de Contas'!#REF!,10,FALSE))</f>
        <v/>
      </c>
    </row>
    <row r="691" spans="12:16" x14ac:dyDescent="0.25">
      <c r="L691" s="1">
        <f t="shared" si="10"/>
        <v>0</v>
      </c>
      <c r="N691" s="6" t="str">
        <f>IF(ISERROR(VLOOKUP($A691,'Plano de Contas'!#REF!,8,FALSE)),"",VLOOKUP($A691,'Plano de Contas'!#REF!,8,FALSE))</f>
        <v/>
      </c>
      <c r="P691" s="6" t="str">
        <f>IF(ISERROR(VLOOKUP($A691,'Plano de Contas'!#REF!,10,FALSE)),"",VLOOKUP($A691,'Plano de Contas'!#REF!,10,FALSE))</f>
        <v/>
      </c>
    </row>
    <row r="692" spans="12:16" x14ac:dyDescent="0.25">
      <c r="L692" s="1">
        <f t="shared" si="10"/>
        <v>0</v>
      </c>
      <c r="N692" s="6" t="str">
        <f>IF(ISERROR(VLOOKUP($A692,'Plano de Contas'!#REF!,8,FALSE)),"",VLOOKUP($A692,'Plano de Contas'!#REF!,8,FALSE))</f>
        <v/>
      </c>
      <c r="P692" s="6" t="str">
        <f>IF(ISERROR(VLOOKUP($A692,'Plano de Contas'!#REF!,10,FALSE)),"",VLOOKUP($A692,'Plano de Contas'!#REF!,10,FALSE))</f>
        <v/>
      </c>
    </row>
    <row r="693" spans="12:16" x14ac:dyDescent="0.25">
      <c r="L693" s="1">
        <f t="shared" si="10"/>
        <v>0</v>
      </c>
      <c r="N693" s="6" t="str">
        <f>IF(ISERROR(VLOOKUP($A693,'Plano de Contas'!#REF!,8,FALSE)),"",VLOOKUP($A693,'Plano de Contas'!#REF!,8,FALSE))</f>
        <v/>
      </c>
      <c r="P693" s="6" t="str">
        <f>IF(ISERROR(VLOOKUP($A693,'Plano de Contas'!#REF!,10,FALSE)),"",VLOOKUP($A693,'Plano de Contas'!#REF!,10,FALSE))</f>
        <v/>
      </c>
    </row>
    <row r="694" spans="12:16" x14ac:dyDescent="0.25">
      <c r="L694" s="1">
        <f t="shared" si="10"/>
        <v>0</v>
      </c>
      <c r="N694" s="6" t="str">
        <f>IF(ISERROR(VLOOKUP($A694,'Plano de Contas'!#REF!,8,FALSE)),"",VLOOKUP($A694,'Plano de Contas'!#REF!,8,FALSE))</f>
        <v/>
      </c>
      <c r="P694" s="6" t="str">
        <f>IF(ISERROR(VLOOKUP($A694,'Plano de Contas'!#REF!,10,FALSE)),"",VLOOKUP($A694,'Plano de Contas'!#REF!,10,FALSE))</f>
        <v/>
      </c>
    </row>
    <row r="695" spans="12:16" x14ac:dyDescent="0.25">
      <c r="L695" s="1">
        <f t="shared" si="10"/>
        <v>0</v>
      </c>
      <c r="N695" s="6" t="str">
        <f>IF(ISERROR(VLOOKUP($A695,'Plano de Contas'!#REF!,8,FALSE)),"",VLOOKUP($A695,'Plano de Contas'!#REF!,8,FALSE))</f>
        <v/>
      </c>
      <c r="P695" s="6" t="str">
        <f>IF(ISERROR(VLOOKUP($A695,'Plano de Contas'!#REF!,10,FALSE)),"",VLOOKUP($A695,'Plano de Contas'!#REF!,10,FALSE))</f>
        <v/>
      </c>
    </row>
    <row r="696" spans="12:16" x14ac:dyDescent="0.25">
      <c r="L696" s="1">
        <f t="shared" si="10"/>
        <v>0</v>
      </c>
      <c r="N696" s="6" t="str">
        <f>IF(ISERROR(VLOOKUP($A696,'Plano de Contas'!#REF!,8,FALSE)),"",VLOOKUP($A696,'Plano de Contas'!#REF!,8,FALSE))</f>
        <v/>
      </c>
      <c r="P696" s="6" t="str">
        <f>IF(ISERROR(VLOOKUP($A696,'Plano de Contas'!#REF!,10,FALSE)),"",VLOOKUP($A696,'Plano de Contas'!#REF!,10,FALSE))</f>
        <v/>
      </c>
    </row>
    <row r="697" spans="12:16" x14ac:dyDescent="0.25">
      <c r="L697" s="1">
        <f t="shared" si="10"/>
        <v>0</v>
      </c>
      <c r="N697" s="6" t="str">
        <f>IF(ISERROR(VLOOKUP($A697,'Plano de Contas'!#REF!,8,FALSE)),"",VLOOKUP($A697,'Plano de Contas'!#REF!,8,FALSE))</f>
        <v/>
      </c>
      <c r="P697" s="6" t="str">
        <f>IF(ISERROR(VLOOKUP($A697,'Plano de Contas'!#REF!,10,FALSE)),"",VLOOKUP($A697,'Plano de Contas'!#REF!,10,FALSE))</f>
        <v/>
      </c>
    </row>
    <row r="698" spans="12:16" x14ac:dyDescent="0.25">
      <c r="L698" s="1">
        <f t="shared" si="10"/>
        <v>0</v>
      </c>
      <c r="N698" s="6" t="str">
        <f>IF(ISERROR(VLOOKUP($A698,'Plano de Contas'!#REF!,8,FALSE)),"",VLOOKUP($A698,'Plano de Contas'!#REF!,8,FALSE))</f>
        <v/>
      </c>
      <c r="P698" s="6" t="str">
        <f>IF(ISERROR(VLOOKUP($A698,'Plano de Contas'!#REF!,10,FALSE)),"",VLOOKUP($A698,'Plano de Contas'!#REF!,10,FALSE))</f>
        <v/>
      </c>
    </row>
    <row r="699" spans="12:16" x14ac:dyDescent="0.25">
      <c r="L699" s="1">
        <f t="shared" si="10"/>
        <v>0</v>
      </c>
      <c r="N699" s="6" t="str">
        <f>IF(ISERROR(VLOOKUP($A699,'Plano de Contas'!#REF!,8,FALSE)),"",VLOOKUP($A699,'Plano de Contas'!#REF!,8,FALSE))</f>
        <v/>
      </c>
      <c r="P699" s="6" t="str">
        <f>IF(ISERROR(VLOOKUP($A699,'Plano de Contas'!#REF!,10,FALSE)),"",VLOOKUP($A699,'Plano de Contas'!#REF!,10,FALSE))</f>
        <v/>
      </c>
    </row>
    <row r="700" spans="12:16" x14ac:dyDescent="0.25">
      <c r="L700" s="1">
        <f t="shared" si="10"/>
        <v>0</v>
      </c>
      <c r="N700" s="6" t="str">
        <f>IF(ISERROR(VLOOKUP($A700,'Plano de Contas'!#REF!,8,FALSE)),"",VLOOKUP($A700,'Plano de Contas'!#REF!,8,FALSE))</f>
        <v/>
      </c>
      <c r="P700" s="6" t="str">
        <f>IF(ISERROR(VLOOKUP($A700,'Plano de Contas'!#REF!,10,FALSE)),"",VLOOKUP($A700,'Plano de Contas'!#REF!,10,FALSE))</f>
        <v/>
      </c>
    </row>
    <row r="701" spans="12:16" x14ac:dyDescent="0.25">
      <c r="L701" s="1">
        <f t="shared" si="10"/>
        <v>0</v>
      </c>
      <c r="N701" s="6" t="str">
        <f>IF(ISERROR(VLOOKUP($A701,'Plano de Contas'!#REF!,8,FALSE)),"",VLOOKUP($A701,'Plano de Contas'!#REF!,8,FALSE))</f>
        <v/>
      </c>
      <c r="P701" s="6" t="str">
        <f>IF(ISERROR(VLOOKUP($A701,'Plano de Contas'!#REF!,10,FALSE)),"",VLOOKUP($A701,'Plano de Contas'!#REF!,10,FALSE))</f>
        <v/>
      </c>
    </row>
    <row r="702" spans="12:16" x14ac:dyDescent="0.25">
      <c r="L702" s="1">
        <f t="shared" si="10"/>
        <v>0</v>
      </c>
      <c r="N702" s="6" t="str">
        <f>IF(ISERROR(VLOOKUP($A702,'Plano de Contas'!#REF!,8,FALSE)),"",VLOOKUP($A702,'Plano de Contas'!#REF!,8,FALSE))</f>
        <v/>
      </c>
      <c r="P702" s="6" t="str">
        <f>IF(ISERROR(VLOOKUP($A702,'Plano de Contas'!#REF!,10,FALSE)),"",VLOOKUP($A702,'Plano de Contas'!#REF!,10,FALSE))</f>
        <v/>
      </c>
    </row>
    <row r="703" spans="12:16" x14ac:dyDescent="0.25">
      <c r="L703" s="1">
        <f t="shared" si="10"/>
        <v>0</v>
      </c>
      <c r="N703" s="6" t="str">
        <f>IF(ISERROR(VLOOKUP($A703,'Plano de Contas'!#REF!,8,FALSE)),"",VLOOKUP($A703,'Plano de Contas'!#REF!,8,FALSE))</f>
        <v/>
      </c>
      <c r="P703" s="6" t="str">
        <f>IF(ISERROR(VLOOKUP($A703,'Plano de Contas'!#REF!,10,FALSE)),"",VLOOKUP($A703,'Plano de Contas'!#REF!,10,FALSE))</f>
        <v/>
      </c>
    </row>
    <row r="704" spans="12:16" x14ac:dyDescent="0.25">
      <c r="L704" s="1">
        <f t="shared" si="10"/>
        <v>0</v>
      </c>
      <c r="N704" s="6" t="str">
        <f>IF(ISERROR(VLOOKUP($A704,'Plano de Contas'!#REF!,8,FALSE)),"",VLOOKUP($A704,'Plano de Contas'!#REF!,8,FALSE))</f>
        <v/>
      </c>
      <c r="P704" s="6" t="str">
        <f>IF(ISERROR(VLOOKUP($A704,'Plano de Contas'!#REF!,10,FALSE)),"",VLOOKUP($A704,'Plano de Contas'!#REF!,10,FALSE))</f>
        <v/>
      </c>
    </row>
    <row r="705" spans="12:16" x14ac:dyDescent="0.25">
      <c r="L705" s="1">
        <f t="shared" si="10"/>
        <v>0</v>
      </c>
      <c r="N705" s="6" t="str">
        <f>IF(ISERROR(VLOOKUP($A705,'Plano de Contas'!#REF!,8,FALSE)),"",VLOOKUP($A705,'Plano de Contas'!#REF!,8,FALSE))</f>
        <v/>
      </c>
      <c r="P705" s="6" t="str">
        <f>IF(ISERROR(VLOOKUP($A705,'Plano de Contas'!#REF!,10,FALSE)),"",VLOOKUP($A705,'Plano de Contas'!#REF!,10,FALSE))</f>
        <v/>
      </c>
    </row>
    <row r="706" spans="12:16" x14ac:dyDescent="0.25">
      <c r="L706" s="1">
        <f t="shared" si="10"/>
        <v>0</v>
      </c>
      <c r="N706" s="6" t="str">
        <f>IF(ISERROR(VLOOKUP($A706,'Plano de Contas'!#REF!,8,FALSE)),"",VLOOKUP($A706,'Plano de Contas'!#REF!,8,FALSE))</f>
        <v/>
      </c>
      <c r="P706" s="6" t="str">
        <f>IF(ISERROR(VLOOKUP($A706,'Plano de Contas'!#REF!,10,FALSE)),"",VLOOKUP($A706,'Plano de Contas'!#REF!,10,FALSE))</f>
        <v/>
      </c>
    </row>
    <row r="707" spans="12:16" x14ac:dyDescent="0.25">
      <c r="L707" s="1">
        <f t="shared" si="10"/>
        <v>0</v>
      </c>
      <c r="N707" s="6" t="str">
        <f>IF(ISERROR(VLOOKUP($A707,'Plano de Contas'!#REF!,8,FALSE)),"",VLOOKUP($A707,'Plano de Contas'!#REF!,8,FALSE))</f>
        <v/>
      </c>
      <c r="P707" s="6" t="str">
        <f>IF(ISERROR(VLOOKUP($A707,'Plano de Contas'!#REF!,10,FALSE)),"",VLOOKUP($A707,'Plano de Contas'!#REF!,10,FALSE))</f>
        <v/>
      </c>
    </row>
    <row r="708" spans="12:16" x14ac:dyDescent="0.25">
      <c r="L708" s="1">
        <f t="shared" si="10"/>
        <v>0</v>
      </c>
      <c r="N708" s="6" t="str">
        <f>IF(ISERROR(VLOOKUP($A708,'Plano de Contas'!#REF!,8,FALSE)),"",VLOOKUP($A708,'Plano de Contas'!#REF!,8,FALSE))</f>
        <v/>
      </c>
      <c r="P708" s="6" t="str">
        <f>IF(ISERROR(VLOOKUP($A708,'Plano de Contas'!#REF!,10,FALSE)),"",VLOOKUP($A708,'Plano de Contas'!#REF!,10,FALSE))</f>
        <v/>
      </c>
    </row>
    <row r="709" spans="12:16" x14ac:dyDescent="0.25">
      <c r="L709" s="1">
        <f t="shared" si="10"/>
        <v>0</v>
      </c>
      <c r="N709" s="6" t="str">
        <f>IF(ISERROR(VLOOKUP($A709,'Plano de Contas'!#REF!,8,FALSE)),"",VLOOKUP($A709,'Plano de Contas'!#REF!,8,FALSE))</f>
        <v/>
      </c>
      <c r="P709" s="6" t="str">
        <f>IF(ISERROR(VLOOKUP($A709,'Plano de Contas'!#REF!,10,FALSE)),"",VLOOKUP($A709,'Plano de Contas'!#REF!,10,FALSE))</f>
        <v/>
      </c>
    </row>
    <row r="710" spans="12:16" x14ac:dyDescent="0.25">
      <c r="L710" s="1">
        <f t="shared" si="10"/>
        <v>0</v>
      </c>
      <c r="N710" s="6" t="str">
        <f>IF(ISERROR(VLOOKUP($A710,'Plano de Contas'!#REF!,8,FALSE)),"",VLOOKUP($A710,'Plano de Contas'!#REF!,8,FALSE))</f>
        <v/>
      </c>
      <c r="P710" s="6" t="str">
        <f>IF(ISERROR(VLOOKUP($A710,'Plano de Contas'!#REF!,10,FALSE)),"",VLOOKUP($A710,'Plano de Contas'!#REF!,10,FALSE))</f>
        <v/>
      </c>
    </row>
    <row r="711" spans="12:16" x14ac:dyDescent="0.25">
      <c r="L711" s="1">
        <f t="shared" si="10"/>
        <v>0</v>
      </c>
      <c r="N711" s="6" t="str">
        <f>IF(ISERROR(VLOOKUP($A711,'Plano de Contas'!#REF!,8,FALSE)),"",VLOOKUP($A711,'Plano de Contas'!#REF!,8,FALSE))</f>
        <v/>
      </c>
      <c r="P711" s="6" t="str">
        <f>IF(ISERROR(VLOOKUP($A711,'Plano de Contas'!#REF!,10,FALSE)),"",VLOOKUP($A711,'Plano de Contas'!#REF!,10,FALSE))</f>
        <v/>
      </c>
    </row>
    <row r="712" spans="12:16" x14ac:dyDescent="0.25">
      <c r="L712" s="1">
        <f t="shared" si="10"/>
        <v>0</v>
      </c>
      <c r="N712" s="6" t="str">
        <f>IF(ISERROR(VLOOKUP($A712,'Plano de Contas'!#REF!,8,FALSE)),"",VLOOKUP($A712,'Plano de Contas'!#REF!,8,FALSE))</f>
        <v/>
      </c>
      <c r="P712" s="6" t="str">
        <f>IF(ISERROR(VLOOKUP($A712,'Plano de Contas'!#REF!,10,FALSE)),"",VLOOKUP($A712,'Plano de Contas'!#REF!,10,FALSE))</f>
        <v/>
      </c>
    </row>
    <row r="713" spans="12:16" x14ac:dyDescent="0.25">
      <c r="L713" s="1">
        <f t="shared" si="10"/>
        <v>0</v>
      </c>
      <c r="N713" s="6" t="str">
        <f>IF(ISERROR(VLOOKUP($A713,'Plano de Contas'!#REF!,8,FALSE)),"",VLOOKUP($A713,'Plano de Contas'!#REF!,8,FALSE))</f>
        <v/>
      </c>
      <c r="P713" s="6" t="str">
        <f>IF(ISERROR(VLOOKUP($A713,'Plano de Contas'!#REF!,10,FALSE)),"",VLOOKUP($A713,'Plano de Contas'!#REF!,10,FALSE))</f>
        <v/>
      </c>
    </row>
    <row r="714" spans="12:16" x14ac:dyDescent="0.25">
      <c r="L714" s="1">
        <f t="shared" si="10"/>
        <v>0</v>
      </c>
      <c r="N714" s="6" t="str">
        <f>IF(ISERROR(VLOOKUP($A714,'Plano de Contas'!#REF!,8,FALSE)),"",VLOOKUP($A714,'Plano de Contas'!#REF!,8,FALSE))</f>
        <v/>
      </c>
      <c r="P714" s="6" t="str">
        <f>IF(ISERROR(VLOOKUP($A714,'Plano de Contas'!#REF!,10,FALSE)),"",VLOOKUP($A714,'Plano de Contas'!#REF!,10,FALSE))</f>
        <v/>
      </c>
    </row>
    <row r="715" spans="12:16" x14ac:dyDescent="0.25">
      <c r="L715" s="1">
        <f t="shared" si="10"/>
        <v>0</v>
      </c>
      <c r="N715" s="6" t="str">
        <f>IF(ISERROR(VLOOKUP($A715,'Plano de Contas'!#REF!,8,FALSE)),"",VLOOKUP($A715,'Plano de Contas'!#REF!,8,FALSE))</f>
        <v/>
      </c>
      <c r="P715" s="6" t="str">
        <f>IF(ISERROR(VLOOKUP($A715,'Plano de Contas'!#REF!,10,FALSE)),"",VLOOKUP($A715,'Plano de Contas'!#REF!,10,FALSE))</f>
        <v/>
      </c>
    </row>
    <row r="716" spans="12:16" x14ac:dyDescent="0.25">
      <c r="L716" s="1">
        <f t="shared" ref="L716:L779" si="11">IF(K716="-",-J716,J716)</f>
        <v>0</v>
      </c>
      <c r="N716" s="6" t="str">
        <f>IF(ISERROR(VLOOKUP($A716,'Plano de Contas'!#REF!,8,FALSE)),"",VLOOKUP($A716,'Plano de Contas'!#REF!,8,FALSE))</f>
        <v/>
      </c>
      <c r="P716" s="6" t="str">
        <f>IF(ISERROR(VLOOKUP($A716,'Plano de Contas'!#REF!,10,FALSE)),"",VLOOKUP($A716,'Plano de Contas'!#REF!,10,FALSE))</f>
        <v/>
      </c>
    </row>
    <row r="717" spans="12:16" x14ac:dyDescent="0.25">
      <c r="L717" s="1">
        <f t="shared" si="11"/>
        <v>0</v>
      </c>
      <c r="N717" s="6" t="str">
        <f>IF(ISERROR(VLOOKUP($A717,'Plano de Contas'!#REF!,8,FALSE)),"",VLOOKUP($A717,'Plano de Contas'!#REF!,8,FALSE))</f>
        <v/>
      </c>
      <c r="P717" s="6" t="str">
        <f>IF(ISERROR(VLOOKUP($A717,'Plano de Contas'!#REF!,10,FALSE)),"",VLOOKUP($A717,'Plano de Contas'!#REF!,10,FALSE))</f>
        <v/>
      </c>
    </row>
    <row r="718" spans="12:16" x14ac:dyDescent="0.25">
      <c r="L718" s="1">
        <f t="shared" si="11"/>
        <v>0</v>
      </c>
      <c r="N718" s="6" t="str">
        <f>IF(ISERROR(VLOOKUP($A718,'Plano de Contas'!#REF!,8,FALSE)),"",VLOOKUP($A718,'Plano de Contas'!#REF!,8,FALSE))</f>
        <v/>
      </c>
      <c r="P718" s="6" t="str">
        <f>IF(ISERROR(VLOOKUP($A718,'Plano de Contas'!#REF!,10,FALSE)),"",VLOOKUP($A718,'Plano de Contas'!#REF!,10,FALSE))</f>
        <v/>
      </c>
    </row>
    <row r="719" spans="12:16" x14ac:dyDescent="0.25">
      <c r="L719" s="1">
        <f t="shared" si="11"/>
        <v>0</v>
      </c>
      <c r="N719" s="6" t="str">
        <f>IF(ISERROR(VLOOKUP($A719,'Plano de Contas'!#REF!,8,FALSE)),"",VLOOKUP($A719,'Plano de Contas'!#REF!,8,FALSE))</f>
        <v/>
      </c>
      <c r="P719" s="6" t="str">
        <f>IF(ISERROR(VLOOKUP($A719,'Plano de Contas'!#REF!,10,FALSE)),"",VLOOKUP($A719,'Plano de Contas'!#REF!,10,FALSE))</f>
        <v/>
      </c>
    </row>
    <row r="720" spans="12:16" x14ac:dyDescent="0.25">
      <c r="L720" s="1">
        <f t="shared" si="11"/>
        <v>0</v>
      </c>
      <c r="N720" s="6" t="str">
        <f>IF(ISERROR(VLOOKUP($A720,'Plano de Contas'!#REF!,8,FALSE)),"",VLOOKUP($A720,'Plano de Contas'!#REF!,8,FALSE))</f>
        <v/>
      </c>
      <c r="P720" s="6" t="str">
        <f>IF(ISERROR(VLOOKUP($A720,'Plano de Contas'!#REF!,10,FALSE)),"",VLOOKUP($A720,'Plano de Contas'!#REF!,10,FALSE))</f>
        <v/>
      </c>
    </row>
    <row r="721" spans="12:16" x14ac:dyDescent="0.25">
      <c r="L721" s="1">
        <f t="shared" si="11"/>
        <v>0</v>
      </c>
      <c r="N721" s="6" t="str">
        <f>IF(ISERROR(VLOOKUP($A721,'Plano de Contas'!#REF!,8,FALSE)),"",VLOOKUP($A721,'Plano de Contas'!#REF!,8,FALSE))</f>
        <v/>
      </c>
      <c r="P721" s="6" t="str">
        <f>IF(ISERROR(VLOOKUP($A721,'Plano de Contas'!#REF!,10,FALSE)),"",VLOOKUP($A721,'Plano de Contas'!#REF!,10,FALSE))</f>
        <v/>
      </c>
    </row>
    <row r="722" spans="12:16" x14ac:dyDescent="0.25">
      <c r="L722" s="1">
        <f t="shared" si="11"/>
        <v>0</v>
      </c>
      <c r="N722" s="6" t="str">
        <f>IF(ISERROR(VLOOKUP($A722,'Plano de Contas'!#REF!,8,FALSE)),"",VLOOKUP($A722,'Plano de Contas'!#REF!,8,FALSE))</f>
        <v/>
      </c>
      <c r="P722" s="6" t="str">
        <f>IF(ISERROR(VLOOKUP($A722,'Plano de Contas'!#REF!,10,FALSE)),"",VLOOKUP($A722,'Plano de Contas'!#REF!,10,FALSE))</f>
        <v/>
      </c>
    </row>
    <row r="723" spans="12:16" x14ac:dyDescent="0.25">
      <c r="L723" s="1">
        <f t="shared" si="11"/>
        <v>0</v>
      </c>
      <c r="N723" s="6" t="str">
        <f>IF(ISERROR(VLOOKUP($A723,'Plano de Contas'!#REF!,8,FALSE)),"",VLOOKUP($A723,'Plano de Contas'!#REF!,8,FALSE))</f>
        <v/>
      </c>
      <c r="P723" s="6" t="str">
        <f>IF(ISERROR(VLOOKUP($A723,'Plano de Contas'!#REF!,10,FALSE)),"",VLOOKUP($A723,'Plano de Contas'!#REF!,10,FALSE))</f>
        <v/>
      </c>
    </row>
    <row r="724" spans="12:16" x14ac:dyDescent="0.25">
      <c r="L724" s="1">
        <f t="shared" si="11"/>
        <v>0</v>
      </c>
      <c r="N724" s="6" t="str">
        <f>IF(ISERROR(VLOOKUP($A724,'Plano de Contas'!#REF!,8,FALSE)),"",VLOOKUP($A724,'Plano de Contas'!#REF!,8,FALSE))</f>
        <v/>
      </c>
      <c r="P724" s="6" t="str">
        <f>IF(ISERROR(VLOOKUP($A724,'Plano de Contas'!#REF!,10,FALSE)),"",VLOOKUP($A724,'Plano de Contas'!#REF!,10,FALSE))</f>
        <v/>
      </c>
    </row>
    <row r="725" spans="12:16" x14ac:dyDescent="0.25">
      <c r="L725" s="1">
        <f t="shared" si="11"/>
        <v>0</v>
      </c>
      <c r="N725" s="6" t="str">
        <f>IF(ISERROR(VLOOKUP($A725,'Plano de Contas'!#REF!,8,FALSE)),"",VLOOKUP($A725,'Plano de Contas'!#REF!,8,FALSE))</f>
        <v/>
      </c>
      <c r="P725" s="6" t="str">
        <f>IF(ISERROR(VLOOKUP($A725,'Plano de Contas'!#REF!,10,FALSE)),"",VLOOKUP($A725,'Plano de Contas'!#REF!,10,FALSE))</f>
        <v/>
      </c>
    </row>
    <row r="726" spans="12:16" x14ac:dyDescent="0.25">
      <c r="L726" s="1">
        <f t="shared" si="11"/>
        <v>0</v>
      </c>
      <c r="N726" s="6" t="str">
        <f>IF(ISERROR(VLOOKUP($A726,'Plano de Contas'!#REF!,8,FALSE)),"",VLOOKUP($A726,'Plano de Contas'!#REF!,8,FALSE))</f>
        <v/>
      </c>
      <c r="P726" s="6" t="str">
        <f>IF(ISERROR(VLOOKUP($A726,'Plano de Contas'!#REF!,10,FALSE)),"",VLOOKUP($A726,'Plano de Contas'!#REF!,10,FALSE))</f>
        <v/>
      </c>
    </row>
    <row r="727" spans="12:16" x14ac:dyDescent="0.25">
      <c r="L727" s="1">
        <f t="shared" si="11"/>
        <v>0</v>
      </c>
      <c r="N727" s="6" t="str">
        <f>IF(ISERROR(VLOOKUP($A727,'Plano de Contas'!#REF!,8,FALSE)),"",VLOOKUP($A727,'Plano de Contas'!#REF!,8,FALSE))</f>
        <v/>
      </c>
      <c r="P727" s="6" t="str">
        <f>IF(ISERROR(VLOOKUP($A727,'Plano de Contas'!#REF!,10,FALSE)),"",VLOOKUP($A727,'Plano de Contas'!#REF!,10,FALSE))</f>
        <v/>
      </c>
    </row>
    <row r="728" spans="12:16" x14ac:dyDescent="0.25">
      <c r="L728" s="1">
        <f t="shared" si="11"/>
        <v>0</v>
      </c>
      <c r="N728" s="6" t="str">
        <f>IF(ISERROR(VLOOKUP($A728,'Plano de Contas'!#REF!,8,FALSE)),"",VLOOKUP($A728,'Plano de Contas'!#REF!,8,FALSE))</f>
        <v/>
      </c>
      <c r="P728" s="6" t="str">
        <f>IF(ISERROR(VLOOKUP($A728,'Plano de Contas'!#REF!,10,FALSE)),"",VLOOKUP($A728,'Plano de Contas'!#REF!,10,FALSE))</f>
        <v/>
      </c>
    </row>
    <row r="729" spans="12:16" x14ac:dyDescent="0.25">
      <c r="L729" s="1">
        <f t="shared" si="11"/>
        <v>0</v>
      </c>
      <c r="N729" s="6" t="str">
        <f>IF(ISERROR(VLOOKUP($A729,'Plano de Contas'!#REF!,8,FALSE)),"",VLOOKUP($A729,'Plano de Contas'!#REF!,8,FALSE))</f>
        <v/>
      </c>
      <c r="P729" s="6" t="str">
        <f>IF(ISERROR(VLOOKUP($A729,'Plano de Contas'!#REF!,10,FALSE)),"",VLOOKUP($A729,'Plano de Contas'!#REF!,10,FALSE))</f>
        <v/>
      </c>
    </row>
    <row r="730" spans="12:16" x14ac:dyDescent="0.25">
      <c r="L730" s="1">
        <f t="shared" si="11"/>
        <v>0</v>
      </c>
      <c r="N730" s="6" t="str">
        <f>IF(ISERROR(VLOOKUP($A730,'Plano de Contas'!#REF!,8,FALSE)),"",VLOOKUP($A730,'Plano de Contas'!#REF!,8,FALSE))</f>
        <v/>
      </c>
      <c r="P730" s="6" t="str">
        <f>IF(ISERROR(VLOOKUP($A730,'Plano de Contas'!#REF!,10,FALSE)),"",VLOOKUP($A730,'Plano de Contas'!#REF!,10,FALSE))</f>
        <v/>
      </c>
    </row>
    <row r="731" spans="12:16" x14ac:dyDescent="0.25">
      <c r="L731" s="1">
        <f t="shared" si="11"/>
        <v>0</v>
      </c>
      <c r="N731" s="6" t="str">
        <f>IF(ISERROR(VLOOKUP($A731,'Plano de Contas'!#REF!,8,FALSE)),"",VLOOKUP($A731,'Plano de Contas'!#REF!,8,FALSE))</f>
        <v/>
      </c>
      <c r="P731" s="6" t="str">
        <f>IF(ISERROR(VLOOKUP($A731,'Plano de Contas'!#REF!,10,FALSE)),"",VLOOKUP($A731,'Plano de Contas'!#REF!,10,FALSE))</f>
        <v/>
      </c>
    </row>
    <row r="732" spans="12:16" x14ac:dyDescent="0.25">
      <c r="L732" s="1">
        <f t="shared" si="11"/>
        <v>0</v>
      </c>
      <c r="N732" s="6" t="str">
        <f>IF(ISERROR(VLOOKUP($A732,'Plano de Contas'!#REF!,8,FALSE)),"",VLOOKUP($A732,'Plano de Contas'!#REF!,8,FALSE))</f>
        <v/>
      </c>
      <c r="P732" s="6" t="str">
        <f>IF(ISERROR(VLOOKUP($A732,'Plano de Contas'!#REF!,10,FALSE)),"",VLOOKUP($A732,'Plano de Contas'!#REF!,10,FALSE))</f>
        <v/>
      </c>
    </row>
    <row r="733" spans="12:16" x14ac:dyDescent="0.25">
      <c r="L733" s="1">
        <f t="shared" si="11"/>
        <v>0</v>
      </c>
      <c r="N733" s="6" t="str">
        <f>IF(ISERROR(VLOOKUP($A733,'Plano de Contas'!#REF!,8,FALSE)),"",VLOOKUP($A733,'Plano de Contas'!#REF!,8,FALSE))</f>
        <v/>
      </c>
      <c r="P733" s="6" t="str">
        <f>IF(ISERROR(VLOOKUP($A733,'Plano de Contas'!#REF!,10,FALSE)),"",VLOOKUP($A733,'Plano de Contas'!#REF!,10,FALSE))</f>
        <v/>
      </c>
    </row>
    <row r="734" spans="12:16" x14ac:dyDescent="0.25">
      <c r="L734" s="1">
        <f t="shared" si="11"/>
        <v>0</v>
      </c>
      <c r="N734" s="6" t="str">
        <f>IF(ISERROR(VLOOKUP($A734,'Plano de Contas'!#REF!,8,FALSE)),"",VLOOKUP($A734,'Plano de Contas'!#REF!,8,FALSE))</f>
        <v/>
      </c>
      <c r="P734" s="6" t="str">
        <f>IF(ISERROR(VLOOKUP($A734,'Plano de Contas'!#REF!,10,FALSE)),"",VLOOKUP($A734,'Plano de Contas'!#REF!,10,FALSE))</f>
        <v/>
      </c>
    </row>
    <row r="735" spans="12:16" x14ac:dyDescent="0.25">
      <c r="L735" s="1">
        <f t="shared" si="11"/>
        <v>0</v>
      </c>
      <c r="N735" s="6" t="str">
        <f>IF(ISERROR(VLOOKUP($A735,'Plano de Contas'!#REF!,8,FALSE)),"",VLOOKUP($A735,'Plano de Contas'!#REF!,8,FALSE))</f>
        <v/>
      </c>
      <c r="P735" s="6" t="str">
        <f>IF(ISERROR(VLOOKUP($A735,'Plano de Contas'!#REF!,10,FALSE)),"",VLOOKUP($A735,'Plano de Contas'!#REF!,10,FALSE))</f>
        <v/>
      </c>
    </row>
    <row r="736" spans="12:16" x14ac:dyDescent="0.25">
      <c r="L736" s="1">
        <f t="shared" si="11"/>
        <v>0</v>
      </c>
      <c r="N736" s="6" t="str">
        <f>IF(ISERROR(VLOOKUP($A736,'Plano de Contas'!#REF!,8,FALSE)),"",VLOOKUP($A736,'Plano de Contas'!#REF!,8,FALSE))</f>
        <v/>
      </c>
      <c r="P736" s="6" t="str">
        <f>IF(ISERROR(VLOOKUP($A736,'Plano de Contas'!#REF!,10,FALSE)),"",VLOOKUP($A736,'Plano de Contas'!#REF!,10,FALSE))</f>
        <v/>
      </c>
    </row>
    <row r="737" spans="12:16" x14ac:dyDescent="0.25">
      <c r="L737" s="1">
        <f t="shared" si="11"/>
        <v>0</v>
      </c>
      <c r="N737" s="6" t="str">
        <f>IF(ISERROR(VLOOKUP($A737,'Plano de Contas'!#REF!,8,FALSE)),"",VLOOKUP($A737,'Plano de Contas'!#REF!,8,FALSE))</f>
        <v/>
      </c>
      <c r="P737" s="6" t="str">
        <f>IF(ISERROR(VLOOKUP($A737,'Plano de Contas'!#REF!,10,FALSE)),"",VLOOKUP($A737,'Plano de Contas'!#REF!,10,FALSE))</f>
        <v/>
      </c>
    </row>
    <row r="738" spans="12:16" x14ac:dyDescent="0.25">
      <c r="L738" s="1">
        <f t="shared" si="11"/>
        <v>0</v>
      </c>
      <c r="N738" s="6" t="str">
        <f>IF(ISERROR(VLOOKUP($A738,'Plano de Contas'!#REF!,8,FALSE)),"",VLOOKUP($A738,'Plano de Contas'!#REF!,8,FALSE))</f>
        <v/>
      </c>
      <c r="P738" s="6" t="str">
        <f>IF(ISERROR(VLOOKUP($A738,'Plano de Contas'!#REF!,10,FALSE)),"",VLOOKUP($A738,'Plano de Contas'!#REF!,10,FALSE))</f>
        <v/>
      </c>
    </row>
    <row r="739" spans="12:16" x14ac:dyDescent="0.25">
      <c r="L739" s="1">
        <f t="shared" si="11"/>
        <v>0</v>
      </c>
      <c r="N739" s="6" t="str">
        <f>IF(ISERROR(VLOOKUP($A739,'Plano de Contas'!#REF!,8,FALSE)),"",VLOOKUP($A739,'Plano de Contas'!#REF!,8,FALSE))</f>
        <v/>
      </c>
      <c r="P739" s="6" t="str">
        <f>IF(ISERROR(VLOOKUP($A739,'Plano de Contas'!#REF!,10,FALSE)),"",VLOOKUP($A739,'Plano de Contas'!#REF!,10,FALSE))</f>
        <v/>
      </c>
    </row>
    <row r="740" spans="12:16" x14ac:dyDescent="0.25">
      <c r="L740" s="1">
        <f t="shared" si="11"/>
        <v>0</v>
      </c>
      <c r="N740" s="6" t="str">
        <f>IF(ISERROR(VLOOKUP($A740,'Plano de Contas'!#REF!,8,FALSE)),"",VLOOKUP($A740,'Plano de Contas'!#REF!,8,FALSE))</f>
        <v/>
      </c>
      <c r="P740" s="6" t="str">
        <f>IF(ISERROR(VLOOKUP($A740,'Plano de Contas'!#REF!,10,FALSE)),"",VLOOKUP($A740,'Plano de Contas'!#REF!,10,FALSE))</f>
        <v/>
      </c>
    </row>
    <row r="741" spans="12:16" x14ac:dyDescent="0.25">
      <c r="L741" s="1">
        <f t="shared" si="11"/>
        <v>0</v>
      </c>
      <c r="N741" s="6" t="str">
        <f>IF(ISERROR(VLOOKUP($A741,'Plano de Contas'!#REF!,8,FALSE)),"",VLOOKUP($A741,'Plano de Contas'!#REF!,8,FALSE))</f>
        <v/>
      </c>
      <c r="P741" s="6" t="str">
        <f>IF(ISERROR(VLOOKUP($A741,'Plano de Contas'!#REF!,10,FALSE)),"",VLOOKUP($A741,'Plano de Contas'!#REF!,10,FALSE))</f>
        <v/>
      </c>
    </row>
    <row r="742" spans="12:16" x14ac:dyDescent="0.25">
      <c r="L742" s="1">
        <f t="shared" si="11"/>
        <v>0</v>
      </c>
      <c r="N742" s="6" t="str">
        <f>IF(ISERROR(VLOOKUP($A742,'Plano de Contas'!#REF!,8,FALSE)),"",VLOOKUP($A742,'Plano de Contas'!#REF!,8,FALSE))</f>
        <v/>
      </c>
      <c r="P742" s="6" t="str">
        <f>IF(ISERROR(VLOOKUP($A742,'Plano de Contas'!#REF!,10,FALSE)),"",VLOOKUP($A742,'Plano de Contas'!#REF!,10,FALSE))</f>
        <v/>
      </c>
    </row>
    <row r="743" spans="12:16" x14ac:dyDescent="0.25">
      <c r="L743" s="1">
        <f t="shared" si="11"/>
        <v>0</v>
      </c>
      <c r="N743" s="6" t="str">
        <f>IF(ISERROR(VLOOKUP($A743,'Plano de Contas'!#REF!,8,FALSE)),"",VLOOKUP($A743,'Plano de Contas'!#REF!,8,FALSE))</f>
        <v/>
      </c>
      <c r="P743" s="6" t="str">
        <f>IF(ISERROR(VLOOKUP($A743,'Plano de Contas'!#REF!,10,FALSE)),"",VLOOKUP($A743,'Plano de Contas'!#REF!,10,FALSE))</f>
        <v/>
      </c>
    </row>
    <row r="744" spans="12:16" x14ac:dyDescent="0.25">
      <c r="L744" s="1">
        <f t="shared" si="11"/>
        <v>0</v>
      </c>
      <c r="N744" s="6" t="str">
        <f>IF(ISERROR(VLOOKUP($A744,'Plano de Contas'!#REF!,8,FALSE)),"",VLOOKUP($A744,'Plano de Contas'!#REF!,8,FALSE))</f>
        <v/>
      </c>
      <c r="P744" s="6" t="str">
        <f>IF(ISERROR(VLOOKUP($A744,'Plano de Contas'!#REF!,10,FALSE)),"",VLOOKUP($A744,'Plano de Contas'!#REF!,10,FALSE))</f>
        <v/>
      </c>
    </row>
    <row r="745" spans="12:16" x14ac:dyDescent="0.25">
      <c r="L745" s="1">
        <f t="shared" si="11"/>
        <v>0</v>
      </c>
      <c r="N745" s="6" t="str">
        <f>IF(ISERROR(VLOOKUP($A745,'Plano de Contas'!#REF!,8,FALSE)),"",VLOOKUP($A745,'Plano de Contas'!#REF!,8,FALSE))</f>
        <v/>
      </c>
      <c r="P745" s="6" t="str">
        <f>IF(ISERROR(VLOOKUP($A745,'Plano de Contas'!#REF!,10,FALSE)),"",VLOOKUP($A745,'Plano de Contas'!#REF!,10,FALSE))</f>
        <v/>
      </c>
    </row>
    <row r="746" spans="12:16" x14ac:dyDescent="0.25">
      <c r="L746" s="1">
        <f t="shared" si="11"/>
        <v>0</v>
      </c>
      <c r="N746" s="6" t="str">
        <f>IF(ISERROR(VLOOKUP($A746,'Plano de Contas'!#REF!,8,FALSE)),"",VLOOKUP($A746,'Plano de Contas'!#REF!,8,FALSE))</f>
        <v/>
      </c>
      <c r="P746" s="6" t="str">
        <f>IF(ISERROR(VLOOKUP($A746,'Plano de Contas'!#REF!,10,FALSE)),"",VLOOKUP($A746,'Plano de Contas'!#REF!,10,FALSE))</f>
        <v/>
      </c>
    </row>
    <row r="747" spans="12:16" x14ac:dyDescent="0.25">
      <c r="L747" s="1">
        <f t="shared" si="11"/>
        <v>0</v>
      </c>
      <c r="N747" s="6" t="str">
        <f>IF(ISERROR(VLOOKUP($A747,'Plano de Contas'!#REF!,8,FALSE)),"",VLOOKUP($A747,'Plano de Contas'!#REF!,8,FALSE))</f>
        <v/>
      </c>
      <c r="P747" s="6" t="str">
        <f>IF(ISERROR(VLOOKUP($A747,'Plano de Contas'!#REF!,10,FALSE)),"",VLOOKUP($A747,'Plano de Contas'!#REF!,10,FALSE))</f>
        <v/>
      </c>
    </row>
    <row r="748" spans="12:16" x14ac:dyDescent="0.25">
      <c r="L748" s="1">
        <f t="shared" si="11"/>
        <v>0</v>
      </c>
      <c r="N748" s="6" t="str">
        <f>IF(ISERROR(VLOOKUP($A748,'Plano de Contas'!#REF!,8,FALSE)),"",VLOOKUP($A748,'Plano de Contas'!#REF!,8,FALSE))</f>
        <v/>
      </c>
      <c r="P748" s="6" t="str">
        <f>IF(ISERROR(VLOOKUP($A748,'Plano de Contas'!#REF!,10,FALSE)),"",VLOOKUP($A748,'Plano de Contas'!#REF!,10,FALSE))</f>
        <v/>
      </c>
    </row>
    <row r="749" spans="12:16" x14ac:dyDescent="0.25">
      <c r="L749" s="1">
        <f t="shared" si="11"/>
        <v>0</v>
      </c>
      <c r="N749" s="6" t="str">
        <f>IF(ISERROR(VLOOKUP($A749,'Plano de Contas'!#REF!,8,FALSE)),"",VLOOKUP($A749,'Plano de Contas'!#REF!,8,FALSE))</f>
        <v/>
      </c>
      <c r="P749" s="6" t="str">
        <f>IF(ISERROR(VLOOKUP($A749,'Plano de Contas'!#REF!,10,FALSE)),"",VLOOKUP($A749,'Plano de Contas'!#REF!,10,FALSE))</f>
        <v/>
      </c>
    </row>
    <row r="750" spans="12:16" x14ac:dyDescent="0.25">
      <c r="L750" s="1">
        <f t="shared" si="11"/>
        <v>0</v>
      </c>
      <c r="N750" s="6" t="str">
        <f>IF(ISERROR(VLOOKUP($A750,'Plano de Contas'!#REF!,8,FALSE)),"",VLOOKUP($A750,'Plano de Contas'!#REF!,8,FALSE))</f>
        <v/>
      </c>
      <c r="P750" s="6" t="str">
        <f>IF(ISERROR(VLOOKUP($A750,'Plano de Contas'!#REF!,10,FALSE)),"",VLOOKUP($A750,'Plano de Contas'!#REF!,10,FALSE))</f>
        <v/>
      </c>
    </row>
    <row r="751" spans="12:16" x14ac:dyDescent="0.25">
      <c r="L751" s="1">
        <f t="shared" si="11"/>
        <v>0</v>
      </c>
      <c r="N751" s="6" t="str">
        <f>IF(ISERROR(VLOOKUP($A751,'Plano de Contas'!#REF!,8,FALSE)),"",VLOOKUP($A751,'Plano de Contas'!#REF!,8,FALSE))</f>
        <v/>
      </c>
      <c r="P751" s="6" t="str">
        <f>IF(ISERROR(VLOOKUP($A751,'Plano de Contas'!#REF!,10,FALSE)),"",VLOOKUP($A751,'Plano de Contas'!#REF!,10,FALSE))</f>
        <v/>
      </c>
    </row>
    <row r="752" spans="12:16" x14ac:dyDescent="0.25">
      <c r="L752" s="1">
        <f t="shared" si="11"/>
        <v>0</v>
      </c>
      <c r="N752" s="6" t="str">
        <f>IF(ISERROR(VLOOKUP($A752,'Plano de Contas'!#REF!,8,FALSE)),"",VLOOKUP($A752,'Plano de Contas'!#REF!,8,FALSE))</f>
        <v/>
      </c>
      <c r="P752" s="6" t="str">
        <f>IF(ISERROR(VLOOKUP($A752,'Plano de Contas'!#REF!,10,FALSE)),"",VLOOKUP($A752,'Plano de Contas'!#REF!,10,FALSE))</f>
        <v/>
      </c>
    </row>
    <row r="753" spans="12:16" x14ac:dyDescent="0.25">
      <c r="L753" s="1">
        <f t="shared" si="11"/>
        <v>0</v>
      </c>
      <c r="N753" s="6" t="str">
        <f>IF(ISERROR(VLOOKUP($A753,'Plano de Contas'!#REF!,8,FALSE)),"",VLOOKUP($A753,'Plano de Contas'!#REF!,8,FALSE))</f>
        <v/>
      </c>
      <c r="P753" s="6" t="str">
        <f>IF(ISERROR(VLOOKUP($A753,'Plano de Contas'!#REF!,10,FALSE)),"",VLOOKUP($A753,'Plano de Contas'!#REF!,10,FALSE))</f>
        <v/>
      </c>
    </row>
    <row r="754" spans="12:16" x14ac:dyDescent="0.25">
      <c r="L754" s="1">
        <f t="shared" si="11"/>
        <v>0</v>
      </c>
      <c r="N754" s="6" t="str">
        <f>IF(ISERROR(VLOOKUP($A754,'Plano de Contas'!#REF!,8,FALSE)),"",VLOOKUP($A754,'Plano de Contas'!#REF!,8,FALSE))</f>
        <v/>
      </c>
      <c r="P754" s="6" t="str">
        <f>IF(ISERROR(VLOOKUP($A754,'Plano de Contas'!#REF!,10,FALSE)),"",VLOOKUP($A754,'Plano de Contas'!#REF!,10,FALSE))</f>
        <v/>
      </c>
    </row>
    <row r="755" spans="12:16" x14ac:dyDescent="0.25">
      <c r="L755" s="1">
        <f t="shared" si="11"/>
        <v>0</v>
      </c>
      <c r="N755" s="6" t="str">
        <f>IF(ISERROR(VLOOKUP($A755,'Plano de Contas'!#REF!,8,FALSE)),"",VLOOKUP($A755,'Plano de Contas'!#REF!,8,FALSE))</f>
        <v/>
      </c>
      <c r="P755" s="6" t="str">
        <f>IF(ISERROR(VLOOKUP($A755,'Plano de Contas'!#REF!,10,FALSE)),"",VLOOKUP($A755,'Plano de Contas'!#REF!,10,FALSE))</f>
        <v/>
      </c>
    </row>
    <row r="756" spans="12:16" x14ac:dyDescent="0.25">
      <c r="L756" s="1">
        <f t="shared" si="11"/>
        <v>0</v>
      </c>
      <c r="N756" s="6" t="str">
        <f>IF(ISERROR(VLOOKUP($A756,'Plano de Contas'!#REF!,8,FALSE)),"",VLOOKUP($A756,'Plano de Contas'!#REF!,8,FALSE))</f>
        <v/>
      </c>
      <c r="P756" s="6" t="str">
        <f>IF(ISERROR(VLOOKUP($A756,'Plano de Contas'!#REF!,10,FALSE)),"",VLOOKUP($A756,'Plano de Contas'!#REF!,10,FALSE))</f>
        <v/>
      </c>
    </row>
    <row r="757" spans="12:16" x14ac:dyDescent="0.25">
      <c r="L757" s="1">
        <f t="shared" si="11"/>
        <v>0</v>
      </c>
      <c r="N757" s="6" t="str">
        <f>IF(ISERROR(VLOOKUP($A757,'Plano de Contas'!#REF!,8,FALSE)),"",VLOOKUP($A757,'Plano de Contas'!#REF!,8,FALSE))</f>
        <v/>
      </c>
      <c r="P757" s="6" t="str">
        <f>IF(ISERROR(VLOOKUP($A757,'Plano de Contas'!#REF!,10,FALSE)),"",VLOOKUP($A757,'Plano de Contas'!#REF!,10,FALSE))</f>
        <v/>
      </c>
    </row>
    <row r="758" spans="12:16" x14ac:dyDescent="0.25">
      <c r="L758" s="1">
        <f t="shared" si="11"/>
        <v>0</v>
      </c>
      <c r="N758" s="6" t="str">
        <f>IF(ISERROR(VLOOKUP($A758,'Plano de Contas'!#REF!,8,FALSE)),"",VLOOKUP($A758,'Plano de Contas'!#REF!,8,FALSE))</f>
        <v/>
      </c>
      <c r="P758" s="6" t="str">
        <f>IF(ISERROR(VLOOKUP($A758,'Plano de Contas'!#REF!,10,FALSE)),"",VLOOKUP($A758,'Plano de Contas'!#REF!,10,FALSE))</f>
        <v/>
      </c>
    </row>
    <row r="759" spans="12:16" x14ac:dyDescent="0.25">
      <c r="L759" s="1">
        <f t="shared" si="11"/>
        <v>0</v>
      </c>
      <c r="N759" s="6" t="str">
        <f>IF(ISERROR(VLOOKUP($A759,'Plano de Contas'!#REF!,8,FALSE)),"",VLOOKUP($A759,'Plano de Contas'!#REF!,8,FALSE))</f>
        <v/>
      </c>
      <c r="P759" s="6" t="str">
        <f>IF(ISERROR(VLOOKUP($A759,'Plano de Contas'!#REF!,10,FALSE)),"",VLOOKUP($A759,'Plano de Contas'!#REF!,10,FALSE))</f>
        <v/>
      </c>
    </row>
    <row r="760" spans="12:16" x14ac:dyDescent="0.25">
      <c r="L760" s="1">
        <f t="shared" si="11"/>
        <v>0</v>
      </c>
      <c r="N760" s="6" t="str">
        <f>IF(ISERROR(VLOOKUP($A760,'Plano de Contas'!#REF!,8,FALSE)),"",VLOOKUP($A760,'Plano de Contas'!#REF!,8,FALSE))</f>
        <v/>
      </c>
      <c r="P760" s="6" t="str">
        <f>IF(ISERROR(VLOOKUP($A760,'Plano de Contas'!#REF!,10,FALSE)),"",VLOOKUP($A760,'Plano de Contas'!#REF!,10,FALSE))</f>
        <v/>
      </c>
    </row>
    <row r="761" spans="12:16" x14ac:dyDescent="0.25">
      <c r="L761" s="1">
        <f t="shared" si="11"/>
        <v>0</v>
      </c>
      <c r="N761" s="6" t="str">
        <f>IF(ISERROR(VLOOKUP($A761,'Plano de Contas'!#REF!,8,FALSE)),"",VLOOKUP($A761,'Plano de Contas'!#REF!,8,FALSE))</f>
        <v/>
      </c>
      <c r="P761" s="6" t="str">
        <f>IF(ISERROR(VLOOKUP($A761,'Plano de Contas'!#REF!,10,FALSE)),"",VLOOKUP($A761,'Plano de Contas'!#REF!,10,FALSE))</f>
        <v/>
      </c>
    </row>
    <row r="762" spans="12:16" x14ac:dyDescent="0.25">
      <c r="L762" s="1">
        <f t="shared" si="11"/>
        <v>0</v>
      </c>
      <c r="N762" s="6" t="str">
        <f>IF(ISERROR(VLOOKUP($A762,'Plano de Contas'!#REF!,8,FALSE)),"",VLOOKUP($A762,'Plano de Contas'!#REF!,8,FALSE))</f>
        <v/>
      </c>
      <c r="P762" s="6" t="str">
        <f>IF(ISERROR(VLOOKUP($A762,'Plano de Contas'!#REF!,10,FALSE)),"",VLOOKUP($A762,'Plano de Contas'!#REF!,10,FALSE))</f>
        <v/>
      </c>
    </row>
    <row r="763" spans="12:16" x14ac:dyDescent="0.25">
      <c r="L763" s="1">
        <f t="shared" si="11"/>
        <v>0</v>
      </c>
      <c r="N763" s="6" t="str">
        <f>IF(ISERROR(VLOOKUP($A763,'Plano de Contas'!#REF!,8,FALSE)),"",VLOOKUP($A763,'Plano de Contas'!#REF!,8,FALSE))</f>
        <v/>
      </c>
      <c r="P763" s="6" t="str">
        <f>IF(ISERROR(VLOOKUP($A763,'Plano de Contas'!#REF!,10,FALSE)),"",VLOOKUP($A763,'Plano de Contas'!#REF!,10,FALSE))</f>
        <v/>
      </c>
    </row>
    <row r="764" spans="12:16" x14ac:dyDescent="0.25">
      <c r="L764" s="1">
        <f t="shared" si="11"/>
        <v>0</v>
      </c>
      <c r="N764" s="6" t="str">
        <f>IF(ISERROR(VLOOKUP($A764,'Plano de Contas'!#REF!,8,FALSE)),"",VLOOKUP($A764,'Plano de Contas'!#REF!,8,FALSE))</f>
        <v/>
      </c>
      <c r="P764" s="6" t="str">
        <f>IF(ISERROR(VLOOKUP($A764,'Plano de Contas'!#REF!,10,FALSE)),"",VLOOKUP($A764,'Plano de Contas'!#REF!,10,FALSE))</f>
        <v/>
      </c>
    </row>
    <row r="765" spans="12:16" x14ac:dyDescent="0.25">
      <c r="L765" s="1">
        <f t="shared" si="11"/>
        <v>0</v>
      </c>
      <c r="N765" s="6" t="str">
        <f>IF(ISERROR(VLOOKUP($A765,'Plano de Contas'!#REF!,8,FALSE)),"",VLOOKUP($A765,'Plano de Contas'!#REF!,8,FALSE))</f>
        <v/>
      </c>
      <c r="P765" s="6" t="str">
        <f>IF(ISERROR(VLOOKUP($A765,'Plano de Contas'!#REF!,10,FALSE)),"",VLOOKUP($A765,'Plano de Contas'!#REF!,10,FALSE))</f>
        <v/>
      </c>
    </row>
    <row r="766" spans="12:16" x14ac:dyDescent="0.25">
      <c r="L766" s="1">
        <f t="shared" si="11"/>
        <v>0</v>
      </c>
      <c r="N766" s="6" t="str">
        <f>IF(ISERROR(VLOOKUP($A766,'Plano de Contas'!#REF!,8,FALSE)),"",VLOOKUP($A766,'Plano de Contas'!#REF!,8,FALSE))</f>
        <v/>
      </c>
      <c r="P766" s="6" t="str">
        <f>IF(ISERROR(VLOOKUP($A766,'Plano de Contas'!#REF!,10,FALSE)),"",VLOOKUP($A766,'Plano de Contas'!#REF!,10,FALSE))</f>
        <v/>
      </c>
    </row>
    <row r="767" spans="12:16" x14ac:dyDescent="0.25">
      <c r="L767" s="1">
        <f t="shared" si="11"/>
        <v>0</v>
      </c>
      <c r="N767" s="6" t="str">
        <f>IF(ISERROR(VLOOKUP($A767,'Plano de Contas'!#REF!,8,FALSE)),"",VLOOKUP($A767,'Plano de Contas'!#REF!,8,FALSE))</f>
        <v/>
      </c>
      <c r="P767" s="6" t="str">
        <f>IF(ISERROR(VLOOKUP($A767,'Plano de Contas'!#REF!,10,FALSE)),"",VLOOKUP($A767,'Plano de Contas'!#REF!,10,FALSE))</f>
        <v/>
      </c>
    </row>
    <row r="768" spans="12:16" x14ac:dyDescent="0.25">
      <c r="L768" s="1">
        <f t="shared" si="11"/>
        <v>0</v>
      </c>
      <c r="N768" s="6" t="str">
        <f>IF(ISERROR(VLOOKUP($A768,'Plano de Contas'!#REF!,8,FALSE)),"",VLOOKUP($A768,'Plano de Contas'!#REF!,8,FALSE))</f>
        <v/>
      </c>
      <c r="P768" s="6" t="str">
        <f>IF(ISERROR(VLOOKUP($A768,'Plano de Contas'!#REF!,10,FALSE)),"",VLOOKUP($A768,'Plano de Contas'!#REF!,10,FALSE))</f>
        <v/>
      </c>
    </row>
    <row r="769" spans="12:16" x14ac:dyDescent="0.25">
      <c r="L769" s="1">
        <f t="shared" si="11"/>
        <v>0</v>
      </c>
      <c r="N769" s="6" t="str">
        <f>IF(ISERROR(VLOOKUP($A769,'Plano de Contas'!#REF!,8,FALSE)),"",VLOOKUP($A769,'Plano de Contas'!#REF!,8,FALSE))</f>
        <v/>
      </c>
      <c r="P769" s="6" t="str">
        <f>IF(ISERROR(VLOOKUP($A769,'Plano de Contas'!#REF!,10,FALSE)),"",VLOOKUP($A769,'Plano de Contas'!#REF!,10,FALSE))</f>
        <v/>
      </c>
    </row>
    <row r="770" spans="12:16" x14ac:dyDescent="0.25">
      <c r="L770" s="1">
        <f t="shared" si="11"/>
        <v>0</v>
      </c>
      <c r="N770" s="6" t="str">
        <f>IF(ISERROR(VLOOKUP($A770,'Plano de Contas'!#REF!,8,FALSE)),"",VLOOKUP($A770,'Plano de Contas'!#REF!,8,FALSE))</f>
        <v/>
      </c>
      <c r="P770" s="6" t="str">
        <f>IF(ISERROR(VLOOKUP($A770,'Plano de Contas'!#REF!,10,FALSE)),"",VLOOKUP($A770,'Plano de Contas'!#REF!,10,FALSE))</f>
        <v/>
      </c>
    </row>
    <row r="771" spans="12:16" x14ac:dyDescent="0.25">
      <c r="L771" s="1">
        <f t="shared" si="11"/>
        <v>0</v>
      </c>
      <c r="N771" s="6" t="str">
        <f>IF(ISERROR(VLOOKUP($A771,'Plano de Contas'!#REF!,8,FALSE)),"",VLOOKUP($A771,'Plano de Contas'!#REF!,8,FALSE))</f>
        <v/>
      </c>
      <c r="P771" s="6" t="str">
        <f>IF(ISERROR(VLOOKUP($A771,'Plano de Contas'!#REF!,10,FALSE)),"",VLOOKUP($A771,'Plano de Contas'!#REF!,10,FALSE))</f>
        <v/>
      </c>
    </row>
    <row r="772" spans="12:16" x14ac:dyDescent="0.25">
      <c r="L772" s="1">
        <f t="shared" si="11"/>
        <v>0</v>
      </c>
      <c r="N772" s="6" t="str">
        <f>IF(ISERROR(VLOOKUP($A772,'Plano de Contas'!#REF!,8,FALSE)),"",VLOOKUP($A772,'Plano de Contas'!#REF!,8,FALSE))</f>
        <v/>
      </c>
      <c r="P772" s="6" t="str">
        <f>IF(ISERROR(VLOOKUP($A772,'Plano de Contas'!#REF!,10,FALSE)),"",VLOOKUP($A772,'Plano de Contas'!#REF!,10,FALSE))</f>
        <v/>
      </c>
    </row>
    <row r="773" spans="12:16" x14ac:dyDescent="0.25">
      <c r="L773" s="1">
        <f t="shared" si="11"/>
        <v>0</v>
      </c>
      <c r="N773" s="6" t="str">
        <f>IF(ISERROR(VLOOKUP($A773,'Plano de Contas'!#REF!,8,FALSE)),"",VLOOKUP($A773,'Plano de Contas'!#REF!,8,FALSE))</f>
        <v/>
      </c>
      <c r="P773" s="6" t="str">
        <f>IF(ISERROR(VLOOKUP($A773,'Plano de Contas'!#REF!,10,FALSE)),"",VLOOKUP($A773,'Plano de Contas'!#REF!,10,FALSE))</f>
        <v/>
      </c>
    </row>
    <row r="774" spans="12:16" x14ac:dyDescent="0.25">
      <c r="L774" s="1">
        <f t="shared" si="11"/>
        <v>0</v>
      </c>
      <c r="N774" s="6" t="str">
        <f>IF(ISERROR(VLOOKUP($A774,'Plano de Contas'!#REF!,8,FALSE)),"",VLOOKUP($A774,'Plano de Contas'!#REF!,8,FALSE))</f>
        <v/>
      </c>
      <c r="P774" s="6" t="str">
        <f>IF(ISERROR(VLOOKUP($A774,'Plano de Contas'!#REF!,10,FALSE)),"",VLOOKUP($A774,'Plano de Contas'!#REF!,10,FALSE))</f>
        <v/>
      </c>
    </row>
    <row r="775" spans="12:16" x14ac:dyDescent="0.25">
      <c r="L775" s="1">
        <f t="shared" si="11"/>
        <v>0</v>
      </c>
      <c r="N775" s="6" t="str">
        <f>IF(ISERROR(VLOOKUP($A775,'Plano de Contas'!#REF!,8,FALSE)),"",VLOOKUP($A775,'Plano de Contas'!#REF!,8,FALSE))</f>
        <v/>
      </c>
      <c r="P775" s="6" t="str">
        <f>IF(ISERROR(VLOOKUP($A775,'Plano de Contas'!#REF!,10,FALSE)),"",VLOOKUP($A775,'Plano de Contas'!#REF!,10,FALSE))</f>
        <v/>
      </c>
    </row>
    <row r="776" spans="12:16" x14ac:dyDescent="0.25">
      <c r="L776" s="1">
        <f t="shared" si="11"/>
        <v>0</v>
      </c>
      <c r="N776" s="6" t="str">
        <f>IF(ISERROR(VLOOKUP($A776,'Plano de Contas'!#REF!,8,FALSE)),"",VLOOKUP($A776,'Plano de Contas'!#REF!,8,FALSE))</f>
        <v/>
      </c>
      <c r="P776" s="6" t="str">
        <f>IF(ISERROR(VLOOKUP($A776,'Plano de Contas'!#REF!,10,FALSE)),"",VLOOKUP($A776,'Plano de Contas'!#REF!,10,FALSE))</f>
        <v/>
      </c>
    </row>
    <row r="777" spans="12:16" x14ac:dyDescent="0.25">
      <c r="L777" s="1">
        <f t="shared" si="11"/>
        <v>0</v>
      </c>
      <c r="N777" s="6" t="str">
        <f>IF(ISERROR(VLOOKUP($A777,'Plano de Contas'!#REF!,8,FALSE)),"",VLOOKUP($A777,'Plano de Contas'!#REF!,8,FALSE))</f>
        <v/>
      </c>
      <c r="P777" s="6" t="str">
        <f>IF(ISERROR(VLOOKUP($A777,'Plano de Contas'!#REF!,10,FALSE)),"",VLOOKUP($A777,'Plano de Contas'!#REF!,10,FALSE))</f>
        <v/>
      </c>
    </row>
    <row r="778" spans="12:16" x14ac:dyDescent="0.25">
      <c r="L778" s="1">
        <f t="shared" si="11"/>
        <v>0</v>
      </c>
      <c r="N778" s="6" t="str">
        <f>IF(ISERROR(VLOOKUP($A778,'Plano de Contas'!#REF!,8,FALSE)),"",VLOOKUP($A778,'Plano de Contas'!#REF!,8,FALSE))</f>
        <v/>
      </c>
      <c r="P778" s="6" t="str">
        <f>IF(ISERROR(VLOOKUP($A778,'Plano de Contas'!#REF!,10,FALSE)),"",VLOOKUP($A778,'Plano de Contas'!#REF!,10,FALSE))</f>
        <v/>
      </c>
    </row>
    <row r="779" spans="12:16" x14ac:dyDescent="0.25">
      <c r="L779" s="1">
        <f t="shared" si="11"/>
        <v>0</v>
      </c>
      <c r="N779" s="6" t="str">
        <f>IF(ISERROR(VLOOKUP($A779,'Plano de Contas'!#REF!,8,FALSE)),"",VLOOKUP($A779,'Plano de Contas'!#REF!,8,FALSE))</f>
        <v/>
      </c>
      <c r="P779" s="6" t="str">
        <f>IF(ISERROR(VLOOKUP($A779,'Plano de Contas'!#REF!,10,FALSE)),"",VLOOKUP($A779,'Plano de Contas'!#REF!,10,FALSE))</f>
        <v/>
      </c>
    </row>
    <row r="780" spans="12:16" x14ac:dyDescent="0.25">
      <c r="L780" s="1">
        <f t="shared" ref="L780:L843" si="12">IF(K780="-",-J780,J780)</f>
        <v>0</v>
      </c>
      <c r="N780" s="6" t="str">
        <f>IF(ISERROR(VLOOKUP($A780,'Plano de Contas'!#REF!,8,FALSE)),"",VLOOKUP($A780,'Plano de Contas'!#REF!,8,FALSE))</f>
        <v/>
      </c>
      <c r="P780" s="6" t="str">
        <f>IF(ISERROR(VLOOKUP($A780,'Plano de Contas'!#REF!,10,FALSE)),"",VLOOKUP($A780,'Plano de Contas'!#REF!,10,FALSE))</f>
        <v/>
      </c>
    </row>
    <row r="781" spans="12:16" x14ac:dyDescent="0.25">
      <c r="L781" s="1">
        <f t="shared" si="12"/>
        <v>0</v>
      </c>
      <c r="N781" s="6" t="str">
        <f>IF(ISERROR(VLOOKUP($A781,'Plano de Contas'!#REF!,8,FALSE)),"",VLOOKUP($A781,'Plano de Contas'!#REF!,8,FALSE))</f>
        <v/>
      </c>
      <c r="P781" s="6" t="str">
        <f>IF(ISERROR(VLOOKUP($A781,'Plano de Contas'!#REF!,10,FALSE)),"",VLOOKUP($A781,'Plano de Contas'!#REF!,10,FALSE))</f>
        <v/>
      </c>
    </row>
    <row r="782" spans="12:16" x14ac:dyDescent="0.25">
      <c r="L782" s="1">
        <f t="shared" si="12"/>
        <v>0</v>
      </c>
      <c r="N782" s="6" t="str">
        <f>IF(ISERROR(VLOOKUP($A782,'Plano de Contas'!#REF!,8,FALSE)),"",VLOOKUP($A782,'Plano de Contas'!#REF!,8,FALSE))</f>
        <v/>
      </c>
      <c r="P782" s="6" t="str">
        <f>IF(ISERROR(VLOOKUP($A782,'Plano de Contas'!#REF!,10,FALSE)),"",VLOOKUP($A782,'Plano de Contas'!#REF!,10,FALSE))</f>
        <v/>
      </c>
    </row>
    <row r="783" spans="12:16" x14ac:dyDescent="0.25">
      <c r="L783" s="1">
        <f t="shared" si="12"/>
        <v>0</v>
      </c>
      <c r="N783" s="6" t="str">
        <f>IF(ISERROR(VLOOKUP($A783,'Plano de Contas'!#REF!,8,FALSE)),"",VLOOKUP($A783,'Plano de Contas'!#REF!,8,FALSE))</f>
        <v/>
      </c>
      <c r="P783" s="6" t="str">
        <f>IF(ISERROR(VLOOKUP($A783,'Plano de Contas'!#REF!,10,FALSE)),"",VLOOKUP($A783,'Plano de Contas'!#REF!,10,FALSE))</f>
        <v/>
      </c>
    </row>
    <row r="784" spans="12:16" x14ac:dyDescent="0.25">
      <c r="L784" s="1">
        <f t="shared" si="12"/>
        <v>0</v>
      </c>
      <c r="N784" s="6" t="str">
        <f>IF(ISERROR(VLOOKUP($A784,'Plano de Contas'!#REF!,8,FALSE)),"",VLOOKUP($A784,'Plano de Contas'!#REF!,8,FALSE))</f>
        <v/>
      </c>
      <c r="P784" s="6" t="str">
        <f>IF(ISERROR(VLOOKUP($A784,'Plano de Contas'!#REF!,10,FALSE)),"",VLOOKUP($A784,'Plano de Contas'!#REF!,10,FALSE))</f>
        <v/>
      </c>
    </row>
    <row r="785" spans="12:16" x14ac:dyDescent="0.25">
      <c r="L785" s="1">
        <f t="shared" si="12"/>
        <v>0</v>
      </c>
      <c r="N785" s="6" t="str">
        <f>IF(ISERROR(VLOOKUP($A785,'Plano de Contas'!#REF!,8,FALSE)),"",VLOOKUP($A785,'Plano de Contas'!#REF!,8,FALSE))</f>
        <v/>
      </c>
      <c r="P785" s="6" t="str">
        <f>IF(ISERROR(VLOOKUP($A785,'Plano de Contas'!#REF!,10,FALSE)),"",VLOOKUP($A785,'Plano de Contas'!#REF!,10,FALSE))</f>
        <v/>
      </c>
    </row>
    <row r="786" spans="12:16" x14ac:dyDescent="0.25">
      <c r="L786" s="1">
        <f t="shared" si="12"/>
        <v>0</v>
      </c>
      <c r="N786" s="6" t="str">
        <f>IF(ISERROR(VLOOKUP($A786,'Plano de Contas'!#REF!,8,FALSE)),"",VLOOKUP($A786,'Plano de Contas'!#REF!,8,FALSE))</f>
        <v/>
      </c>
      <c r="P786" s="6" t="str">
        <f>IF(ISERROR(VLOOKUP($A786,'Plano de Contas'!#REF!,10,FALSE)),"",VLOOKUP($A786,'Plano de Contas'!#REF!,10,FALSE))</f>
        <v/>
      </c>
    </row>
    <row r="787" spans="12:16" x14ac:dyDescent="0.25">
      <c r="L787" s="1">
        <f t="shared" si="12"/>
        <v>0</v>
      </c>
      <c r="N787" s="6" t="str">
        <f>IF(ISERROR(VLOOKUP($A787,'Plano de Contas'!#REF!,8,FALSE)),"",VLOOKUP($A787,'Plano de Contas'!#REF!,8,FALSE))</f>
        <v/>
      </c>
      <c r="P787" s="6" t="str">
        <f>IF(ISERROR(VLOOKUP($A787,'Plano de Contas'!#REF!,10,FALSE)),"",VLOOKUP($A787,'Plano de Contas'!#REF!,10,FALSE))</f>
        <v/>
      </c>
    </row>
    <row r="788" spans="12:16" x14ac:dyDescent="0.25">
      <c r="L788" s="1">
        <f t="shared" si="12"/>
        <v>0</v>
      </c>
      <c r="N788" s="6" t="str">
        <f>IF(ISERROR(VLOOKUP($A788,'Plano de Contas'!#REF!,8,FALSE)),"",VLOOKUP($A788,'Plano de Contas'!#REF!,8,FALSE))</f>
        <v/>
      </c>
      <c r="P788" s="6" t="str">
        <f>IF(ISERROR(VLOOKUP($A788,'Plano de Contas'!#REF!,10,FALSE)),"",VLOOKUP($A788,'Plano de Contas'!#REF!,10,FALSE))</f>
        <v/>
      </c>
    </row>
    <row r="789" spans="12:16" x14ac:dyDescent="0.25">
      <c r="L789" s="1">
        <f t="shared" si="12"/>
        <v>0</v>
      </c>
      <c r="N789" s="6" t="str">
        <f>IF(ISERROR(VLOOKUP($A789,'Plano de Contas'!#REF!,8,FALSE)),"",VLOOKUP($A789,'Plano de Contas'!#REF!,8,FALSE))</f>
        <v/>
      </c>
      <c r="P789" s="6" t="str">
        <f>IF(ISERROR(VLOOKUP($A789,'Plano de Contas'!#REF!,10,FALSE)),"",VLOOKUP($A789,'Plano de Contas'!#REF!,10,FALSE))</f>
        <v/>
      </c>
    </row>
    <row r="790" spans="12:16" x14ac:dyDescent="0.25">
      <c r="L790" s="1">
        <f t="shared" si="12"/>
        <v>0</v>
      </c>
      <c r="N790" s="6" t="str">
        <f>IF(ISERROR(VLOOKUP($A790,'Plano de Contas'!#REF!,8,FALSE)),"",VLOOKUP($A790,'Plano de Contas'!#REF!,8,FALSE))</f>
        <v/>
      </c>
      <c r="P790" s="6" t="str">
        <f>IF(ISERROR(VLOOKUP($A790,'Plano de Contas'!#REF!,10,FALSE)),"",VLOOKUP($A790,'Plano de Contas'!#REF!,10,FALSE))</f>
        <v/>
      </c>
    </row>
    <row r="791" spans="12:16" x14ac:dyDescent="0.25">
      <c r="L791" s="1">
        <f t="shared" si="12"/>
        <v>0</v>
      </c>
      <c r="N791" s="6" t="str">
        <f>IF(ISERROR(VLOOKUP($A791,'Plano de Contas'!#REF!,8,FALSE)),"",VLOOKUP($A791,'Plano de Contas'!#REF!,8,FALSE))</f>
        <v/>
      </c>
      <c r="P791" s="6" t="str">
        <f>IF(ISERROR(VLOOKUP($A791,'Plano de Contas'!#REF!,10,FALSE)),"",VLOOKUP($A791,'Plano de Contas'!#REF!,10,FALSE))</f>
        <v/>
      </c>
    </row>
    <row r="792" spans="12:16" x14ac:dyDescent="0.25">
      <c r="L792" s="1">
        <f t="shared" si="12"/>
        <v>0</v>
      </c>
      <c r="N792" s="6" t="str">
        <f>IF(ISERROR(VLOOKUP($A792,'Plano de Contas'!#REF!,8,FALSE)),"",VLOOKUP($A792,'Plano de Contas'!#REF!,8,FALSE))</f>
        <v/>
      </c>
      <c r="P792" s="6" t="str">
        <f>IF(ISERROR(VLOOKUP($A792,'Plano de Contas'!#REF!,10,FALSE)),"",VLOOKUP($A792,'Plano de Contas'!#REF!,10,FALSE))</f>
        <v/>
      </c>
    </row>
    <row r="793" spans="12:16" x14ac:dyDescent="0.25">
      <c r="L793" s="1">
        <f t="shared" si="12"/>
        <v>0</v>
      </c>
      <c r="N793" s="6" t="str">
        <f>IF(ISERROR(VLOOKUP($A793,'Plano de Contas'!#REF!,7)),"",VLOOKUP($A793,'Plano de Contas'!#REF!,7))</f>
        <v/>
      </c>
    </row>
    <row r="794" spans="12:16" x14ac:dyDescent="0.25">
      <c r="L794" s="1">
        <f t="shared" si="12"/>
        <v>0</v>
      </c>
      <c r="N794" s="6" t="str">
        <f>IF(ISERROR(VLOOKUP($A794,'Plano de Contas'!#REF!,7)),"",VLOOKUP($A794,'Plano de Contas'!#REF!,7))</f>
        <v/>
      </c>
    </row>
    <row r="795" spans="12:16" x14ac:dyDescent="0.25">
      <c r="L795" s="1">
        <f t="shared" si="12"/>
        <v>0</v>
      </c>
      <c r="N795" s="6" t="str">
        <f>IF(ISERROR(VLOOKUP($A795,'Plano de Contas'!#REF!,7)),"",VLOOKUP($A795,'Plano de Contas'!#REF!,7))</f>
        <v/>
      </c>
    </row>
    <row r="796" spans="12:16" x14ac:dyDescent="0.25">
      <c r="L796" s="1">
        <f t="shared" si="12"/>
        <v>0</v>
      </c>
      <c r="N796" s="6" t="str">
        <f>IF(ISERROR(VLOOKUP($A796,'Plano de Contas'!#REF!,7)),"",VLOOKUP($A796,'Plano de Contas'!#REF!,7))</f>
        <v/>
      </c>
    </row>
    <row r="797" spans="12:16" x14ac:dyDescent="0.25">
      <c r="L797" s="1">
        <f t="shared" si="12"/>
        <v>0</v>
      </c>
      <c r="N797" s="6" t="str">
        <f>IF(ISERROR(VLOOKUP($A797,'Plano de Contas'!#REF!,7)),"",VLOOKUP($A797,'Plano de Contas'!#REF!,7))</f>
        <v/>
      </c>
    </row>
    <row r="798" spans="12:16" x14ac:dyDescent="0.25">
      <c r="L798" s="1">
        <f t="shared" si="12"/>
        <v>0</v>
      </c>
      <c r="N798" s="6" t="str">
        <f>IF(ISERROR(VLOOKUP($A798,'Plano de Contas'!#REF!,7)),"",VLOOKUP($A798,'Plano de Contas'!#REF!,7))</f>
        <v/>
      </c>
    </row>
    <row r="799" spans="12:16" x14ac:dyDescent="0.25">
      <c r="L799" s="1">
        <f t="shared" si="12"/>
        <v>0</v>
      </c>
      <c r="N799" s="6" t="str">
        <f>IF(ISERROR(VLOOKUP($A799,'Plano de Contas'!#REF!,7)),"",VLOOKUP($A799,'Plano de Contas'!#REF!,7))</f>
        <v/>
      </c>
    </row>
    <row r="800" spans="12:16" x14ac:dyDescent="0.25">
      <c r="L800" s="1">
        <f t="shared" si="12"/>
        <v>0</v>
      </c>
      <c r="N800" s="6" t="str">
        <f>IF(ISERROR(VLOOKUP($A800,'Plano de Contas'!#REF!,7)),"",VLOOKUP($A800,'Plano de Contas'!#REF!,7))</f>
        <v/>
      </c>
    </row>
    <row r="801" spans="12:14" x14ac:dyDescent="0.25">
      <c r="L801" s="1">
        <f t="shared" si="12"/>
        <v>0</v>
      </c>
      <c r="N801" s="6" t="str">
        <f>IF(ISERROR(VLOOKUP($A801,'Plano de Contas'!#REF!,7)),"",VLOOKUP($A801,'Plano de Contas'!#REF!,7))</f>
        <v/>
      </c>
    </row>
    <row r="802" spans="12:14" x14ac:dyDescent="0.25">
      <c r="L802" s="1">
        <f t="shared" si="12"/>
        <v>0</v>
      </c>
      <c r="N802" s="6" t="str">
        <f>IF(ISERROR(VLOOKUP($A802,'Plano de Contas'!#REF!,7)),"",VLOOKUP($A802,'Plano de Contas'!#REF!,7))</f>
        <v/>
      </c>
    </row>
    <row r="803" spans="12:14" x14ac:dyDescent="0.25">
      <c r="L803" s="1">
        <f t="shared" si="12"/>
        <v>0</v>
      </c>
      <c r="N803" s="6" t="str">
        <f>IF(ISERROR(VLOOKUP($A803,'Plano de Contas'!#REF!,7)),"",VLOOKUP($A803,'Plano de Contas'!#REF!,7))</f>
        <v/>
      </c>
    </row>
    <row r="804" spans="12:14" x14ac:dyDescent="0.25">
      <c r="L804" s="1">
        <f t="shared" si="12"/>
        <v>0</v>
      </c>
      <c r="N804" s="6" t="str">
        <f>IF(ISERROR(VLOOKUP($A804,'Plano de Contas'!#REF!,7)),"",VLOOKUP($A804,'Plano de Contas'!#REF!,7))</f>
        <v/>
      </c>
    </row>
    <row r="805" spans="12:14" x14ac:dyDescent="0.25">
      <c r="L805" s="1">
        <f t="shared" si="12"/>
        <v>0</v>
      </c>
      <c r="N805" s="6" t="str">
        <f>IF(ISERROR(VLOOKUP($A805,'Plano de Contas'!#REF!,7)),"",VLOOKUP($A805,'Plano de Contas'!#REF!,7))</f>
        <v/>
      </c>
    </row>
    <row r="806" spans="12:14" x14ac:dyDescent="0.25">
      <c r="L806" s="1">
        <f t="shared" si="12"/>
        <v>0</v>
      </c>
      <c r="N806" s="6" t="str">
        <f>IF(ISERROR(VLOOKUP($A806,'Plano de Contas'!#REF!,7)),"",VLOOKUP($A806,'Plano de Contas'!#REF!,7))</f>
        <v/>
      </c>
    </row>
    <row r="807" spans="12:14" x14ac:dyDescent="0.25">
      <c r="L807" s="1">
        <f t="shared" si="12"/>
        <v>0</v>
      </c>
      <c r="N807" s="6" t="str">
        <f>IF(ISERROR(VLOOKUP($A807,'Plano de Contas'!#REF!,7)),"",VLOOKUP($A807,'Plano de Contas'!#REF!,7))</f>
        <v/>
      </c>
    </row>
    <row r="808" spans="12:14" x14ac:dyDescent="0.25">
      <c r="L808" s="1">
        <f t="shared" si="12"/>
        <v>0</v>
      </c>
      <c r="N808" s="6" t="str">
        <f>IF(ISERROR(VLOOKUP($A808,'Plano de Contas'!#REF!,7)),"",VLOOKUP($A808,'Plano de Contas'!#REF!,7))</f>
        <v/>
      </c>
    </row>
    <row r="809" spans="12:14" x14ac:dyDescent="0.25">
      <c r="L809" s="1">
        <f t="shared" si="12"/>
        <v>0</v>
      </c>
      <c r="N809" s="6" t="str">
        <f>IF(ISERROR(VLOOKUP($A809,'Plano de Contas'!#REF!,7)),"",VLOOKUP($A809,'Plano de Contas'!#REF!,7))</f>
        <v/>
      </c>
    </row>
    <row r="810" spans="12:14" x14ac:dyDescent="0.25">
      <c r="L810" s="1">
        <f t="shared" si="12"/>
        <v>0</v>
      </c>
      <c r="N810" s="6" t="str">
        <f>IF(ISERROR(VLOOKUP($A810,'Plano de Contas'!#REF!,7)),"",VLOOKUP($A810,'Plano de Contas'!#REF!,7))</f>
        <v/>
      </c>
    </row>
    <row r="811" spans="12:14" x14ac:dyDescent="0.25">
      <c r="L811" s="1">
        <f t="shared" si="12"/>
        <v>0</v>
      </c>
      <c r="N811" s="6" t="str">
        <f>IF(ISERROR(VLOOKUP($A811,'Plano de Contas'!#REF!,7)),"",VLOOKUP($A811,'Plano de Contas'!#REF!,7))</f>
        <v/>
      </c>
    </row>
    <row r="812" spans="12:14" x14ac:dyDescent="0.25">
      <c r="L812" s="1">
        <f t="shared" si="12"/>
        <v>0</v>
      </c>
      <c r="N812" s="6" t="str">
        <f>IF(ISERROR(VLOOKUP($A812,'Plano de Contas'!#REF!,7)),"",VLOOKUP($A812,'Plano de Contas'!#REF!,7))</f>
        <v/>
      </c>
    </row>
    <row r="813" spans="12:14" x14ac:dyDescent="0.25">
      <c r="L813" s="1">
        <f t="shared" si="12"/>
        <v>0</v>
      </c>
      <c r="N813" s="6" t="str">
        <f>IF(ISERROR(VLOOKUP($A813,'Plano de Contas'!#REF!,7)),"",VLOOKUP($A813,'Plano de Contas'!#REF!,7))</f>
        <v/>
      </c>
    </row>
    <row r="814" spans="12:14" x14ac:dyDescent="0.25">
      <c r="L814" s="1">
        <f t="shared" si="12"/>
        <v>0</v>
      </c>
      <c r="N814" s="6" t="str">
        <f>IF(ISERROR(VLOOKUP($A814,'Plano de Contas'!#REF!,7)),"",VLOOKUP($A814,'Plano de Contas'!#REF!,7))</f>
        <v/>
      </c>
    </row>
    <row r="815" spans="12:14" x14ac:dyDescent="0.25">
      <c r="L815" s="1">
        <f t="shared" si="12"/>
        <v>0</v>
      </c>
      <c r="N815" s="6" t="str">
        <f>IF(ISERROR(VLOOKUP($A815,'Plano de Contas'!#REF!,7)),"",VLOOKUP($A815,'Plano de Contas'!#REF!,7))</f>
        <v/>
      </c>
    </row>
    <row r="816" spans="12:14" x14ac:dyDescent="0.25">
      <c r="L816" s="1">
        <f t="shared" si="12"/>
        <v>0</v>
      </c>
      <c r="N816" s="6" t="str">
        <f>IF(ISERROR(VLOOKUP($A816,'Plano de Contas'!#REF!,7)),"",VLOOKUP($A816,'Plano de Contas'!#REF!,7))</f>
        <v/>
      </c>
    </row>
    <row r="817" spans="12:14" x14ac:dyDescent="0.25">
      <c r="L817" s="1">
        <f t="shared" si="12"/>
        <v>0</v>
      </c>
      <c r="N817" s="6" t="str">
        <f>IF(ISERROR(VLOOKUP($A817,'Plano de Contas'!#REF!,7)),"",VLOOKUP($A817,'Plano de Contas'!#REF!,7))</f>
        <v/>
      </c>
    </row>
    <row r="818" spans="12:14" x14ac:dyDescent="0.25">
      <c r="L818" s="1">
        <f t="shared" si="12"/>
        <v>0</v>
      </c>
      <c r="N818" s="6" t="str">
        <f>IF(ISERROR(VLOOKUP($A818,'Plano de Contas'!#REF!,7)),"",VLOOKUP($A818,'Plano de Contas'!#REF!,7))</f>
        <v/>
      </c>
    </row>
    <row r="819" spans="12:14" x14ac:dyDescent="0.25">
      <c r="L819" s="1">
        <f t="shared" si="12"/>
        <v>0</v>
      </c>
      <c r="N819" s="6" t="str">
        <f>IF(ISERROR(VLOOKUP($A819,'Plano de Contas'!#REF!,7)),"",VLOOKUP($A819,'Plano de Contas'!#REF!,7))</f>
        <v/>
      </c>
    </row>
    <row r="820" spans="12:14" x14ac:dyDescent="0.25">
      <c r="L820" s="1">
        <f t="shared" si="12"/>
        <v>0</v>
      </c>
      <c r="N820" s="6" t="str">
        <f>IF(ISERROR(VLOOKUP($A820,'Plano de Contas'!#REF!,7)),"",VLOOKUP($A820,'Plano de Contas'!#REF!,7))</f>
        <v/>
      </c>
    </row>
    <row r="821" spans="12:14" x14ac:dyDescent="0.25">
      <c r="L821" s="1">
        <f t="shared" si="12"/>
        <v>0</v>
      </c>
      <c r="N821" s="6" t="str">
        <f>IF(ISERROR(VLOOKUP($A821,'Plano de Contas'!#REF!,7)),"",VLOOKUP($A821,'Plano de Contas'!#REF!,7))</f>
        <v/>
      </c>
    </row>
    <row r="822" spans="12:14" x14ac:dyDescent="0.25">
      <c r="L822" s="1">
        <f t="shared" si="12"/>
        <v>0</v>
      </c>
      <c r="N822" s="6" t="str">
        <f>IF(ISERROR(VLOOKUP($A822,'Plano de Contas'!#REF!,7)),"",VLOOKUP($A822,'Plano de Contas'!#REF!,7))</f>
        <v/>
      </c>
    </row>
    <row r="823" spans="12:14" x14ac:dyDescent="0.25">
      <c r="L823" s="1">
        <f t="shared" si="12"/>
        <v>0</v>
      </c>
      <c r="N823" s="6" t="str">
        <f>IF(ISERROR(VLOOKUP($A823,'Plano de Contas'!#REF!,7)),"",VLOOKUP($A823,'Plano de Contas'!#REF!,7))</f>
        <v/>
      </c>
    </row>
    <row r="824" spans="12:14" x14ac:dyDescent="0.25">
      <c r="L824" s="1">
        <f t="shared" si="12"/>
        <v>0</v>
      </c>
      <c r="N824" s="6" t="str">
        <f>IF(ISERROR(VLOOKUP($A824,'Plano de Contas'!#REF!,7)),"",VLOOKUP($A824,'Plano de Contas'!#REF!,7))</f>
        <v/>
      </c>
    </row>
    <row r="825" spans="12:14" x14ac:dyDescent="0.25">
      <c r="L825" s="1">
        <f t="shared" si="12"/>
        <v>0</v>
      </c>
      <c r="N825" s="6" t="str">
        <f>IF(ISERROR(VLOOKUP($A825,'Plano de Contas'!#REF!,7)),"",VLOOKUP($A825,'Plano de Contas'!#REF!,7))</f>
        <v/>
      </c>
    </row>
    <row r="826" spans="12:14" x14ac:dyDescent="0.25">
      <c r="L826" s="1">
        <f t="shared" si="12"/>
        <v>0</v>
      </c>
      <c r="N826" s="6" t="str">
        <f>IF(ISERROR(VLOOKUP($A826,'Plano de Contas'!#REF!,7)),"",VLOOKUP($A826,'Plano de Contas'!#REF!,7))</f>
        <v/>
      </c>
    </row>
    <row r="827" spans="12:14" x14ac:dyDescent="0.25">
      <c r="L827" s="1">
        <f t="shared" si="12"/>
        <v>0</v>
      </c>
      <c r="N827" s="6" t="str">
        <f>IF(ISERROR(VLOOKUP($A827,'Plano de Contas'!#REF!,7)),"",VLOOKUP($A827,'Plano de Contas'!#REF!,7))</f>
        <v/>
      </c>
    </row>
    <row r="828" spans="12:14" x14ac:dyDescent="0.25">
      <c r="L828" s="1">
        <f t="shared" si="12"/>
        <v>0</v>
      </c>
      <c r="N828" s="6" t="str">
        <f>IF(ISERROR(VLOOKUP($A828,'Plano de Contas'!#REF!,7)),"",VLOOKUP($A828,'Plano de Contas'!#REF!,7))</f>
        <v/>
      </c>
    </row>
    <row r="829" spans="12:14" x14ac:dyDescent="0.25">
      <c r="L829" s="1">
        <f t="shared" si="12"/>
        <v>0</v>
      </c>
      <c r="N829" s="6" t="str">
        <f>IF(ISERROR(VLOOKUP($A829,'Plano de Contas'!#REF!,7)),"",VLOOKUP($A829,'Plano de Contas'!#REF!,7))</f>
        <v/>
      </c>
    </row>
    <row r="830" spans="12:14" x14ac:dyDescent="0.25">
      <c r="L830" s="1">
        <f t="shared" si="12"/>
        <v>0</v>
      </c>
      <c r="N830" s="6" t="str">
        <f>IF(ISERROR(VLOOKUP($A830,'Plano de Contas'!#REF!,7)),"",VLOOKUP($A830,'Plano de Contas'!#REF!,7))</f>
        <v/>
      </c>
    </row>
    <row r="831" spans="12:14" x14ac:dyDescent="0.25">
      <c r="L831" s="1">
        <f t="shared" si="12"/>
        <v>0</v>
      </c>
      <c r="N831" s="6" t="str">
        <f>IF(ISERROR(VLOOKUP($A831,'Plano de Contas'!#REF!,7)),"",VLOOKUP($A831,'Plano de Contas'!#REF!,7))</f>
        <v/>
      </c>
    </row>
    <row r="832" spans="12:14" x14ac:dyDescent="0.25">
      <c r="L832" s="1">
        <f t="shared" si="12"/>
        <v>0</v>
      </c>
      <c r="N832" s="6" t="str">
        <f>IF(ISERROR(VLOOKUP($A832,'Plano de Contas'!#REF!,7)),"",VLOOKUP($A832,'Plano de Contas'!#REF!,7))</f>
        <v/>
      </c>
    </row>
    <row r="833" spans="12:14" x14ac:dyDescent="0.25">
      <c r="L833" s="1">
        <f t="shared" si="12"/>
        <v>0</v>
      </c>
      <c r="N833" s="6" t="str">
        <f>IF(ISERROR(VLOOKUP($A833,'Plano de Contas'!#REF!,7)),"",VLOOKUP($A833,'Plano de Contas'!#REF!,7))</f>
        <v/>
      </c>
    </row>
    <row r="834" spans="12:14" x14ac:dyDescent="0.25">
      <c r="L834" s="1">
        <f t="shared" si="12"/>
        <v>0</v>
      </c>
      <c r="N834" s="6" t="str">
        <f>IF(ISERROR(VLOOKUP($A834,'Plano de Contas'!#REF!,7)),"",VLOOKUP($A834,'Plano de Contas'!#REF!,7))</f>
        <v/>
      </c>
    </row>
    <row r="835" spans="12:14" x14ac:dyDescent="0.25">
      <c r="L835" s="1">
        <f t="shared" si="12"/>
        <v>0</v>
      </c>
      <c r="N835" s="6" t="str">
        <f>IF(ISERROR(VLOOKUP($A835,'Plano de Contas'!#REF!,7)),"",VLOOKUP($A835,'Plano de Contas'!#REF!,7))</f>
        <v/>
      </c>
    </row>
    <row r="836" spans="12:14" x14ac:dyDescent="0.25">
      <c r="L836" s="1">
        <f t="shared" si="12"/>
        <v>0</v>
      </c>
      <c r="N836" s="6" t="str">
        <f>IF(ISERROR(VLOOKUP($A836,'Plano de Contas'!#REF!,7)),"",VLOOKUP($A836,'Plano de Contas'!#REF!,7))</f>
        <v/>
      </c>
    </row>
    <row r="837" spans="12:14" x14ac:dyDescent="0.25">
      <c r="L837" s="1">
        <f t="shared" si="12"/>
        <v>0</v>
      </c>
      <c r="N837" s="6" t="str">
        <f>IF(ISERROR(VLOOKUP($A837,'Plano de Contas'!#REF!,7)),"",VLOOKUP($A837,'Plano de Contas'!#REF!,7))</f>
        <v/>
      </c>
    </row>
    <row r="838" spans="12:14" x14ac:dyDescent="0.25">
      <c r="L838" s="1">
        <f t="shared" si="12"/>
        <v>0</v>
      </c>
      <c r="N838" s="6" t="str">
        <f>IF(ISERROR(VLOOKUP($A838,'Plano de Contas'!#REF!,7)),"",VLOOKUP($A838,'Plano de Contas'!#REF!,7))</f>
        <v/>
      </c>
    </row>
    <row r="839" spans="12:14" x14ac:dyDescent="0.25">
      <c r="L839" s="1">
        <f t="shared" si="12"/>
        <v>0</v>
      </c>
      <c r="N839" s="6" t="str">
        <f>IF(ISERROR(VLOOKUP($A839,'Plano de Contas'!#REF!,7)),"",VLOOKUP($A839,'Plano de Contas'!#REF!,7))</f>
        <v/>
      </c>
    </row>
    <row r="840" spans="12:14" x14ac:dyDescent="0.25">
      <c r="L840" s="1">
        <f t="shared" si="12"/>
        <v>0</v>
      </c>
      <c r="N840" s="6" t="str">
        <f>IF(ISERROR(VLOOKUP($A840,'Plano de Contas'!#REF!,7)),"",VLOOKUP($A840,'Plano de Contas'!#REF!,7))</f>
        <v/>
      </c>
    </row>
    <row r="841" spans="12:14" x14ac:dyDescent="0.25">
      <c r="L841" s="1">
        <f t="shared" si="12"/>
        <v>0</v>
      </c>
      <c r="N841" s="6" t="str">
        <f>IF(ISERROR(VLOOKUP($A841,'Plano de Contas'!#REF!,7)),"",VLOOKUP($A841,'Plano de Contas'!#REF!,7))</f>
        <v/>
      </c>
    </row>
    <row r="842" spans="12:14" x14ac:dyDescent="0.25">
      <c r="L842" s="1">
        <f t="shared" si="12"/>
        <v>0</v>
      </c>
      <c r="N842" s="6" t="str">
        <f>IF(ISERROR(VLOOKUP($A842,'Plano de Contas'!#REF!,7)),"",VLOOKUP($A842,'Plano de Contas'!#REF!,7))</f>
        <v/>
      </c>
    </row>
    <row r="843" spans="12:14" x14ac:dyDescent="0.25">
      <c r="L843" s="1">
        <f t="shared" si="12"/>
        <v>0</v>
      </c>
      <c r="N843" s="6" t="str">
        <f>IF(ISERROR(VLOOKUP($A843,'Plano de Contas'!#REF!,7)),"",VLOOKUP($A843,'Plano de Contas'!#REF!,7))</f>
        <v/>
      </c>
    </row>
    <row r="844" spans="12:14" x14ac:dyDescent="0.25">
      <c r="L844" s="1">
        <f t="shared" ref="L844:L907" si="13">IF(K844="-",-J844,J844)</f>
        <v>0</v>
      </c>
      <c r="N844" s="6" t="str">
        <f>IF(ISERROR(VLOOKUP($A844,'Plano de Contas'!#REF!,7)),"",VLOOKUP($A844,'Plano de Contas'!#REF!,7))</f>
        <v/>
      </c>
    </row>
    <row r="845" spans="12:14" x14ac:dyDescent="0.25">
      <c r="L845" s="1">
        <f t="shared" si="13"/>
        <v>0</v>
      </c>
      <c r="N845" s="6" t="str">
        <f>IF(ISERROR(VLOOKUP($A845,'Plano de Contas'!#REF!,7)),"",VLOOKUP($A845,'Plano de Contas'!#REF!,7))</f>
        <v/>
      </c>
    </row>
    <row r="846" spans="12:14" x14ac:dyDescent="0.25">
      <c r="L846" s="1">
        <f t="shared" si="13"/>
        <v>0</v>
      </c>
      <c r="N846" s="6" t="str">
        <f>IF(ISERROR(VLOOKUP($A846,'Plano de Contas'!#REF!,7)),"",VLOOKUP($A846,'Plano de Contas'!#REF!,7))</f>
        <v/>
      </c>
    </row>
    <row r="847" spans="12:14" x14ac:dyDescent="0.25">
      <c r="L847" s="1">
        <f t="shared" si="13"/>
        <v>0</v>
      </c>
      <c r="N847" s="6" t="str">
        <f>IF(ISERROR(VLOOKUP($A847,'Plano de Contas'!#REF!,7)),"",VLOOKUP($A847,'Plano de Contas'!#REF!,7))</f>
        <v/>
      </c>
    </row>
    <row r="848" spans="12:14" x14ac:dyDescent="0.25">
      <c r="L848" s="1">
        <f t="shared" si="13"/>
        <v>0</v>
      </c>
      <c r="N848" s="6" t="str">
        <f>IF(ISERROR(VLOOKUP($A848,'Plano de Contas'!#REF!,7)),"",VLOOKUP($A848,'Plano de Contas'!#REF!,7))</f>
        <v/>
      </c>
    </row>
    <row r="849" spans="12:14" x14ac:dyDescent="0.25">
      <c r="L849" s="1">
        <f t="shared" si="13"/>
        <v>0</v>
      </c>
      <c r="N849" s="6" t="str">
        <f>IF(ISERROR(VLOOKUP($A849,'Plano de Contas'!#REF!,7)),"",VLOOKUP($A849,'Plano de Contas'!#REF!,7))</f>
        <v/>
      </c>
    </row>
    <row r="850" spans="12:14" x14ac:dyDescent="0.25">
      <c r="L850" s="1">
        <f t="shared" si="13"/>
        <v>0</v>
      </c>
      <c r="N850" s="6" t="str">
        <f>IF(ISERROR(VLOOKUP($A850,'Plano de Contas'!#REF!,7)),"",VLOOKUP($A850,'Plano de Contas'!#REF!,7))</f>
        <v/>
      </c>
    </row>
    <row r="851" spans="12:14" x14ac:dyDescent="0.25">
      <c r="L851" s="1">
        <f t="shared" si="13"/>
        <v>0</v>
      </c>
      <c r="N851" s="6" t="str">
        <f>IF(ISERROR(VLOOKUP($A851,'Plano de Contas'!#REF!,7)),"",VLOOKUP($A851,'Plano de Contas'!#REF!,7))</f>
        <v/>
      </c>
    </row>
    <row r="852" spans="12:14" x14ac:dyDescent="0.25">
      <c r="L852" s="1">
        <f t="shared" si="13"/>
        <v>0</v>
      </c>
      <c r="N852" s="6" t="str">
        <f>IF(ISERROR(VLOOKUP($A852,'Plano de Contas'!#REF!,7)),"",VLOOKUP($A852,'Plano de Contas'!#REF!,7))</f>
        <v/>
      </c>
    </row>
    <row r="853" spans="12:14" x14ac:dyDescent="0.25">
      <c r="L853" s="1">
        <f t="shared" si="13"/>
        <v>0</v>
      </c>
      <c r="N853" s="6" t="str">
        <f>IF(ISERROR(VLOOKUP($A853,'Plano de Contas'!#REF!,7)),"",VLOOKUP($A853,'Plano de Contas'!#REF!,7))</f>
        <v/>
      </c>
    </row>
    <row r="854" spans="12:14" x14ac:dyDescent="0.25">
      <c r="L854" s="1">
        <f t="shared" si="13"/>
        <v>0</v>
      </c>
      <c r="N854" s="6" t="str">
        <f>IF(ISERROR(VLOOKUP($A854,'Plano de Contas'!#REF!,7)),"",VLOOKUP($A854,'Plano de Contas'!#REF!,7))</f>
        <v/>
      </c>
    </row>
    <row r="855" spans="12:14" x14ac:dyDescent="0.25">
      <c r="L855" s="1">
        <f t="shared" si="13"/>
        <v>0</v>
      </c>
      <c r="N855" s="6" t="str">
        <f>IF(ISERROR(VLOOKUP($A855,'Plano de Contas'!#REF!,7)),"",VLOOKUP($A855,'Plano de Contas'!#REF!,7))</f>
        <v/>
      </c>
    </row>
    <row r="856" spans="12:14" x14ac:dyDescent="0.25">
      <c r="L856" s="1">
        <f t="shared" si="13"/>
        <v>0</v>
      </c>
      <c r="N856" s="6" t="str">
        <f>IF(ISERROR(VLOOKUP($A856,'Plano de Contas'!#REF!,7)),"",VLOOKUP($A856,'Plano de Contas'!#REF!,7))</f>
        <v/>
      </c>
    </row>
    <row r="857" spans="12:14" x14ac:dyDescent="0.25">
      <c r="L857" s="1">
        <f t="shared" si="13"/>
        <v>0</v>
      </c>
      <c r="N857" s="6" t="str">
        <f>IF(ISERROR(VLOOKUP($A857,'Plano de Contas'!#REF!,7)),"",VLOOKUP($A857,'Plano de Contas'!#REF!,7))</f>
        <v/>
      </c>
    </row>
    <row r="858" spans="12:14" x14ac:dyDescent="0.25">
      <c r="L858" s="1">
        <f t="shared" si="13"/>
        <v>0</v>
      </c>
      <c r="N858" s="6" t="str">
        <f>IF(ISERROR(VLOOKUP($A858,'Plano de Contas'!#REF!,7)),"",VLOOKUP($A858,'Plano de Contas'!#REF!,7))</f>
        <v/>
      </c>
    </row>
    <row r="859" spans="12:14" x14ac:dyDescent="0.25">
      <c r="L859" s="1">
        <f t="shared" si="13"/>
        <v>0</v>
      </c>
      <c r="N859" s="6" t="str">
        <f>IF(ISERROR(VLOOKUP($A859,'Plano de Contas'!#REF!,7)),"",VLOOKUP($A859,'Plano de Contas'!#REF!,7))</f>
        <v/>
      </c>
    </row>
    <row r="860" spans="12:14" x14ac:dyDescent="0.25">
      <c r="L860" s="1">
        <f t="shared" si="13"/>
        <v>0</v>
      </c>
      <c r="N860" s="6" t="str">
        <f>IF(ISERROR(VLOOKUP($A860,'Plano de Contas'!#REF!,7)),"",VLOOKUP($A860,'Plano de Contas'!#REF!,7))</f>
        <v/>
      </c>
    </row>
    <row r="861" spans="12:14" x14ac:dyDescent="0.25">
      <c r="L861" s="1">
        <f t="shared" si="13"/>
        <v>0</v>
      </c>
      <c r="N861" s="6" t="str">
        <f>IF(ISERROR(VLOOKUP($A861,'Plano de Contas'!#REF!,7)),"",VLOOKUP($A861,'Plano de Contas'!#REF!,7))</f>
        <v/>
      </c>
    </row>
    <row r="862" spans="12:14" x14ac:dyDescent="0.25">
      <c r="L862" s="1">
        <f t="shared" si="13"/>
        <v>0</v>
      </c>
      <c r="N862" s="6" t="str">
        <f>IF(ISERROR(VLOOKUP($A862,'Plano de Contas'!#REF!,7)),"",VLOOKUP($A862,'Plano de Contas'!#REF!,7))</f>
        <v/>
      </c>
    </row>
    <row r="863" spans="12:14" x14ac:dyDescent="0.25">
      <c r="L863" s="1">
        <f t="shared" si="13"/>
        <v>0</v>
      </c>
      <c r="N863" s="6" t="str">
        <f>IF(ISERROR(VLOOKUP($A863,'Plano de Contas'!#REF!,7)),"",VLOOKUP($A863,'Plano de Contas'!#REF!,7))</f>
        <v/>
      </c>
    </row>
    <row r="864" spans="12:14" x14ac:dyDescent="0.25">
      <c r="L864" s="1">
        <f t="shared" si="13"/>
        <v>0</v>
      </c>
      <c r="N864" s="6" t="str">
        <f>IF(ISERROR(VLOOKUP($A864,'Plano de Contas'!#REF!,7)),"",VLOOKUP($A864,'Plano de Contas'!#REF!,7))</f>
        <v/>
      </c>
    </row>
    <row r="865" spans="12:14" x14ac:dyDescent="0.25">
      <c r="L865" s="1">
        <f t="shared" si="13"/>
        <v>0</v>
      </c>
      <c r="N865" s="6" t="str">
        <f>IF(ISERROR(VLOOKUP($A865,'Plano de Contas'!#REF!,7)),"",VLOOKUP($A865,'Plano de Contas'!#REF!,7))</f>
        <v/>
      </c>
    </row>
    <row r="866" spans="12:14" x14ac:dyDescent="0.25">
      <c r="L866" s="1">
        <f t="shared" si="13"/>
        <v>0</v>
      </c>
      <c r="N866" s="6" t="str">
        <f>IF(ISERROR(VLOOKUP($A866,'Plano de Contas'!#REF!,7)),"",VLOOKUP($A866,'Plano de Contas'!#REF!,7))</f>
        <v/>
      </c>
    </row>
    <row r="867" spans="12:14" x14ac:dyDescent="0.25">
      <c r="L867" s="1">
        <f t="shared" si="13"/>
        <v>0</v>
      </c>
      <c r="N867" s="6" t="str">
        <f>IF(ISERROR(VLOOKUP($A867,'Plano de Contas'!#REF!,7)),"",VLOOKUP($A867,'Plano de Contas'!#REF!,7))</f>
        <v/>
      </c>
    </row>
    <row r="868" spans="12:14" x14ac:dyDescent="0.25">
      <c r="L868" s="1">
        <f t="shared" si="13"/>
        <v>0</v>
      </c>
      <c r="N868" s="6" t="str">
        <f>IF(ISERROR(VLOOKUP($A868,'Plano de Contas'!#REF!,7)),"",VLOOKUP($A868,'Plano de Contas'!#REF!,7))</f>
        <v/>
      </c>
    </row>
    <row r="869" spans="12:14" x14ac:dyDescent="0.25">
      <c r="L869" s="1">
        <f t="shared" si="13"/>
        <v>0</v>
      </c>
      <c r="N869" s="6" t="str">
        <f>IF(ISERROR(VLOOKUP($A869,'Plano de Contas'!#REF!,7)),"",VLOOKUP($A869,'Plano de Contas'!#REF!,7))</f>
        <v/>
      </c>
    </row>
    <row r="870" spans="12:14" x14ac:dyDescent="0.25">
      <c r="L870" s="1">
        <f t="shared" si="13"/>
        <v>0</v>
      </c>
      <c r="N870" s="6" t="str">
        <f>IF(ISERROR(VLOOKUP($A870,'Plano de Contas'!#REF!,7)),"",VLOOKUP($A870,'Plano de Contas'!#REF!,7))</f>
        <v/>
      </c>
    </row>
    <row r="871" spans="12:14" x14ac:dyDescent="0.25">
      <c r="L871" s="1">
        <f t="shared" si="13"/>
        <v>0</v>
      </c>
      <c r="N871" s="6" t="str">
        <f>IF(ISERROR(VLOOKUP($A871,'Plano de Contas'!#REF!,7)),"",VLOOKUP($A871,'Plano de Contas'!#REF!,7))</f>
        <v/>
      </c>
    </row>
    <row r="872" spans="12:14" x14ac:dyDescent="0.25">
      <c r="L872" s="1">
        <f t="shared" si="13"/>
        <v>0</v>
      </c>
      <c r="N872" s="6" t="str">
        <f>IF(ISERROR(VLOOKUP($A872,'Plano de Contas'!#REF!,7)),"",VLOOKUP($A872,'Plano de Contas'!#REF!,7))</f>
        <v/>
      </c>
    </row>
    <row r="873" spans="12:14" x14ac:dyDescent="0.25">
      <c r="L873" s="1">
        <f t="shared" si="13"/>
        <v>0</v>
      </c>
      <c r="N873" s="6" t="str">
        <f>IF(ISERROR(VLOOKUP($A873,'Plano de Contas'!#REF!,7)),"",VLOOKUP($A873,'Plano de Contas'!#REF!,7))</f>
        <v/>
      </c>
    </row>
    <row r="874" spans="12:14" x14ac:dyDescent="0.25">
      <c r="L874" s="1">
        <f t="shared" si="13"/>
        <v>0</v>
      </c>
      <c r="N874" s="6" t="str">
        <f>IF(ISERROR(VLOOKUP($A874,'Plano de Contas'!#REF!,7)),"",VLOOKUP($A874,'Plano de Contas'!#REF!,7))</f>
        <v/>
      </c>
    </row>
    <row r="875" spans="12:14" x14ac:dyDescent="0.25">
      <c r="L875" s="1">
        <f t="shared" si="13"/>
        <v>0</v>
      </c>
      <c r="N875" s="6" t="str">
        <f>IF(ISERROR(VLOOKUP($A875,'Plano de Contas'!#REF!,7)),"",VLOOKUP($A875,'Plano de Contas'!#REF!,7))</f>
        <v/>
      </c>
    </row>
    <row r="876" spans="12:14" x14ac:dyDescent="0.25">
      <c r="L876" s="1">
        <f t="shared" si="13"/>
        <v>0</v>
      </c>
      <c r="N876" s="6" t="str">
        <f>IF(ISERROR(VLOOKUP($A876,'Plano de Contas'!#REF!,7)),"",VLOOKUP($A876,'Plano de Contas'!#REF!,7))</f>
        <v/>
      </c>
    </row>
    <row r="877" spans="12:14" x14ac:dyDescent="0.25">
      <c r="L877" s="1">
        <f t="shared" si="13"/>
        <v>0</v>
      </c>
      <c r="N877" s="6" t="str">
        <f>IF(ISERROR(VLOOKUP($A877,'Plano de Contas'!#REF!,7)),"",VLOOKUP($A877,'Plano de Contas'!#REF!,7))</f>
        <v/>
      </c>
    </row>
    <row r="878" spans="12:14" x14ac:dyDescent="0.25">
      <c r="L878" s="1">
        <f t="shared" si="13"/>
        <v>0</v>
      </c>
      <c r="N878" s="6" t="str">
        <f>IF(ISERROR(VLOOKUP($A878,'Plano de Contas'!#REF!,7)),"",VLOOKUP($A878,'Plano de Contas'!#REF!,7))</f>
        <v/>
      </c>
    </row>
    <row r="879" spans="12:14" x14ac:dyDescent="0.25">
      <c r="L879" s="1">
        <f t="shared" si="13"/>
        <v>0</v>
      </c>
      <c r="N879" s="6" t="str">
        <f>IF(ISERROR(VLOOKUP($A879,'Plano de Contas'!#REF!,7)),"",VLOOKUP($A879,'Plano de Contas'!#REF!,7))</f>
        <v/>
      </c>
    </row>
    <row r="880" spans="12:14" x14ac:dyDescent="0.25">
      <c r="L880" s="1">
        <f t="shared" si="13"/>
        <v>0</v>
      </c>
      <c r="N880" s="6" t="str">
        <f>IF(ISERROR(VLOOKUP($A880,'Plano de Contas'!#REF!,7)),"",VLOOKUP($A880,'Plano de Contas'!#REF!,7))</f>
        <v/>
      </c>
    </row>
    <row r="881" spans="12:14" x14ac:dyDescent="0.25">
      <c r="L881" s="1">
        <f t="shared" si="13"/>
        <v>0</v>
      </c>
      <c r="N881" s="6" t="str">
        <f>IF(ISERROR(VLOOKUP($A881,'Plano de Contas'!#REF!,7)),"",VLOOKUP($A881,'Plano de Contas'!#REF!,7))</f>
        <v/>
      </c>
    </row>
    <row r="882" spans="12:14" x14ac:dyDescent="0.25">
      <c r="L882" s="1">
        <f t="shared" si="13"/>
        <v>0</v>
      </c>
      <c r="N882" s="6" t="str">
        <f>IF(ISERROR(VLOOKUP($A882,'Plano de Contas'!#REF!,7)),"",VLOOKUP($A882,'Plano de Contas'!#REF!,7))</f>
        <v/>
      </c>
    </row>
    <row r="883" spans="12:14" x14ac:dyDescent="0.25">
      <c r="L883" s="1">
        <f t="shared" si="13"/>
        <v>0</v>
      </c>
      <c r="N883" s="6" t="str">
        <f>IF(ISERROR(VLOOKUP($A883,'Plano de Contas'!#REF!,7)),"",VLOOKUP($A883,'Plano de Contas'!#REF!,7))</f>
        <v/>
      </c>
    </row>
    <row r="884" spans="12:14" x14ac:dyDescent="0.25">
      <c r="L884" s="1">
        <f t="shared" si="13"/>
        <v>0</v>
      </c>
      <c r="N884" s="6" t="str">
        <f>IF(ISERROR(VLOOKUP($A884,'Plano de Contas'!#REF!,7)),"",VLOOKUP($A884,'Plano de Contas'!#REF!,7))</f>
        <v/>
      </c>
    </row>
    <row r="885" spans="12:14" x14ac:dyDescent="0.25">
      <c r="L885" s="1">
        <f t="shared" si="13"/>
        <v>0</v>
      </c>
      <c r="N885" s="6" t="str">
        <f>IF(ISERROR(VLOOKUP($A885,'Plano de Contas'!#REF!,7)),"",VLOOKUP($A885,'Plano de Contas'!#REF!,7))</f>
        <v/>
      </c>
    </row>
    <row r="886" spans="12:14" x14ac:dyDescent="0.25">
      <c r="L886" s="1">
        <f t="shared" si="13"/>
        <v>0</v>
      </c>
      <c r="N886" s="6" t="str">
        <f>IF(ISERROR(VLOOKUP($A886,'Plano de Contas'!#REF!,7)),"",VLOOKUP($A886,'Plano de Contas'!#REF!,7))</f>
        <v/>
      </c>
    </row>
    <row r="887" spans="12:14" x14ac:dyDescent="0.25">
      <c r="L887" s="1">
        <f t="shared" si="13"/>
        <v>0</v>
      </c>
      <c r="N887" s="6" t="str">
        <f>IF(ISERROR(VLOOKUP($A887,'Plano de Contas'!#REF!,7)),"",VLOOKUP($A887,'Plano de Contas'!#REF!,7))</f>
        <v/>
      </c>
    </row>
    <row r="888" spans="12:14" x14ac:dyDescent="0.25">
      <c r="L888" s="1">
        <f t="shared" si="13"/>
        <v>0</v>
      </c>
      <c r="N888" s="6" t="str">
        <f>IF(ISERROR(VLOOKUP($A888,'Plano de Contas'!#REF!,7)),"",VLOOKUP($A888,'Plano de Contas'!#REF!,7))</f>
        <v/>
      </c>
    </row>
    <row r="889" spans="12:14" x14ac:dyDescent="0.25">
      <c r="L889" s="1">
        <f t="shared" si="13"/>
        <v>0</v>
      </c>
      <c r="N889" s="6" t="str">
        <f>IF(ISERROR(VLOOKUP($A889,'Plano de Contas'!#REF!,7)),"",VLOOKUP($A889,'Plano de Contas'!#REF!,7))</f>
        <v/>
      </c>
    </row>
    <row r="890" spans="12:14" x14ac:dyDescent="0.25">
      <c r="L890" s="1">
        <f t="shared" si="13"/>
        <v>0</v>
      </c>
      <c r="N890" s="6" t="str">
        <f>IF(ISERROR(VLOOKUP($A890,'Plano de Contas'!#REF!,7)),"",VLOOKUP($A890,'Plano de Contas'!#REF!,7))</f>
        <v/>
      </c>
    </row>
    <row r="891" spans="12:14" x14ac:dyDescent="0.25">
      <c r="L891" s="1">
        <f t="shared" si="13"/>
        <v>0</v>
      </c>
      <c r="N891" s="6" t="str">
        <f>IF(ISERROR(VLOOKUP($A891,'Plano de Contas'!#REF!,7)),"",VLOOKUP($A891,'Plano de Contas'!#REF!,7))</f>
        <v/>
      </c>
    </row>
    <row r="892" spans="12:14" x14ac:dyDescent="0.25">
      <c r="L892" s="1">
        <f t="shared" si="13"/>
        <v>0</v>
      </c>
      <c r="N892" s="6" t="str">
        <f>IF(ISERROR(VLOOKUP($A892,'Plano de Contas'!#REF!,7)),"",VLOOKUP($A892,'Plano de Contas'!#REF!,7))</f>
        <v/>
      </c>
    </row>
    <row r="893" spans="12:14" x14ac:dyDescent="0.25">
      <c r="L893" s="1">
        <f t="shared" si="13"/>
        <v>0</v>
      </c>
      <c r="N893" s="6" t="str">
        <f>IF(ISERROR(VLOOKUP($A893,'Plano de Contas'!#REF!,7)),"",VLOOKUP($A893,'Plano de Contas'!#REF!,7))</f>
        <v/>
      </c>
    </row>
    <row r="894" spans="12:14" x14ac:dyDescent="0.25">
      <c r="L894" s="1">
        <f t="shared" si="13"/>
        <v>0</v>
      </c>
      <c r="N894" s="6" t="str">
        <f>IF(ISERROR(VLOOKUP($A894,'Plano de Contas'!#REF!,7)),"",VLOOKUP($A894,'Plano de Contas'!#REF!,7))</f>
        <v/>
      </c>
    </row>
    <row r="895" spans="12:14" x14ac:dyDescent="0.25">
      <c r="L895" s="1">
        <f t="shared" si="13"/>
        <v>0</v>
      </c>
      <c r="N895" s="6" t="str">
        <f>IF(ISERROR(VLOOKUP($A895,'Plano de Contas'!#REF!,7)),"",VLOOKUP($A895,'Plano de Contas'!#REF!,7))</f>
        <v/>
      </c>
    </row>
    <row r="896" spans="12:14" x14ac:dyDescent="0.25">
      <c r="L896" s="1">
        <f t="shared" si="13"/>
        <v>0</v>
      </c>
      <c r="N896" s="6" t="str">
        <f>IF(ISERROR(VLOOKUP($A896,'Plano de Contas'!#REF!,7)),"",VLOOKUP($A896,'Plano de Contas'!#REF!,7))</f>
        <v/>
      </c>
    </row>
    <row r="897" spans="12:14" x14ac:dyDescent="0.25">
      <c r="L897" s="1">
        <f t="shared" si="13"/>
        <v>0</v>
      </c>
      <c r="N897" s="6" t="str">
        <f>IF(ISERROR(VLOOKUP($A897,'Plano de Contas'!#REF!,7)),"",VLOOKUP($A897,'Plano de Contas'!#REF!,7))</f>
        <v/>
      </c>
    </row>
    <row r="898" spans="12:14" x14ac:dyDescent="0.25">
      <c r="L898" s="1">
        <f t="shared" si="13"/>
        <v>0</v>
      </c>
      <c r="N898" s="6" t="str">
        <f>IF(ISERROR(VLOOKUP($A898,'Plano de Contas'!#REF!,7)),"",VLOOKUP($A898,'Plano de Contas'!#REF!,7))</f>
        <v/>
      </c>
    </row>
    <row r="899" spans="12:14" x14ac:dyDescent="0.25">
      <c r="L899" s="1">
        <f t="shared" si="13"/>
        <v>0</v>
      </c>
      <c r="N899" s="6" t="str">
        <f>IF(ISERROR(VLOOKUP($A899,'Plano de Contas'!#REF!,7)),"",VLOOKUP($A899,'Plano de Contas'!#REF!,7))</f>
        <v/>
      </c>
    </row>
    <row r="900" spans="12:14" x14ac:dyDescent="0.25">
      <c r="L900" s="1">
        <f t="shared" si="13"/>
        <v>0</v>
      </c>
      <c r="N900" s="6" t="str">
        <f>IF(ISERROR(VLOOKUP($A900,'Plano de Contas'!#REF!,7)),"",VLOOKUP($A900,'Plano de Contas'!#REF!,7))</f>
        <v/>
      </c>
    </row>
    <row r="901" spans="12:14" x14ac:dyDescent="0.25">
      <c r="L901" s="1">
        <f t="shared" si="13"/>
        <v>0</v>
      </c>
      <c r="N901" s="6" t="str">
        <f>IF(ISERROR(VLOOKUP($A901,'Plano de Contas'!#REF!,7)),"",VLOOKUP($A901,'Plano de Contas'!#REF!,7))</f>
        <v/>
      </c>
    </row>
    <row r="902" spans="12:14" x14ac:dyDescent="0.25">
      <c r="L902" s="1">
        <f t="shared" si="13"/>
        <v>0</v>
      </c>
      <c r="N902" s="6" t="str">
        <f>IF(ISERROR(VLOOKUP($A902,'Plano de Contas'!#REF!,7)),"",VLOOKUP($A902,'Plano de Contas'!#REF!,7))</f>
        <v/>
      </c>
    </row>
    <row r="903" spans="12:14" x14ac:dyDescent="0.25">
      <c r="L903" s="1">
        <f t="shared" si="13"/>
        <v>0</v>
      </c>
      <c r="N903" s="6" t="str">
        <f>IF(ISERROR(VLOOKUP($A903,'Plano de Contas'!#REF!,7)),"",VLOOKUP($A903,'Plano de Contas'!#REF!,7))</f>
        <v/>
      </c>
    </row>
    <row r="904" spans="12:14" x14ac:dyDescent="0.25">
      <c r="L904" s="1">
        <f t="shared" si="13"/>
        <v>0</v>
      </c>
      <c r="N904" s="6" t="str">
        <f>IF(ISERROR(VLOOKUP($A904,'Plano de Contas'!#REF!,7)),"",VLOOKUP($A904,'Plano de Contas'!#REF!,7))</f>
        <v/>
      </c>
    </row>
    <row r="905" spans="12:14" x14ac:dyDescent="0.25">
      <c r="L905" s="1">
        <f t="shared" si="13"/>
        <v>0</v>
      </c>
      <c r="N905" s="6" t="str">
        <f>IF(ISERROR(VLOOKUP($A905,'Plano de Contas'!#REF!,7)),"",VLOOKUP($A905,'Plano de Contas'!#REF!,7))</f>
        <v/>
      </c>
    </row>
    <row r="906" spans="12:14" x14ac:dyDescent="0.25">
      <c r="L906" s="1">
        <f t="shared" si="13"/>
        <v>0</v>
      </c>
      <c r="N906" s="6" t="str">
        <f>IF(ISERROR(VLOOKUP($A906,'Plano de Contas'!#REF!,7)),"",VLOOKUP($A906,'Plano de Contas'!#REF!,7))</f>
        <v/>
      </c>
    </row>
    <row r="907" spans="12:14" x14ac:dyDescent="0.25">
      <c r="L907" s="1">
        <f t="shared" si="13"/>
        <v>0</v>
      </c>
      <c r="N907" s="6" t="str">
        <f>IF(ISERROR(VLOOKUP($A907,'Plano de Contas'!#REF!,7)),"",VLOOKUP($A907,'Plano de Contas'!#REF!,7))</f>
        <v/>
      </c>
    </row>
    <row r="908" spans="12:14" x14ac:dyDescent="0.25">
      <c r="L908" s="1">
        <f t="shared" ref="L908:L971" si="14">IF(K908="-",-J908,J908)</f>
        <v>0</v>
      </c>
      <c r="N908" s="6" t="str">
        <f>IF(ISERROR(VLOOKUP($A908,'Plano de Contas'!#REF!,7)),"",VLOOKUP($A908,'Plano de Contas'!#REF!,7))</f>
        <v/>
      </c>
    </row>
    <row r="909" spans="12:14" x14ac:dyDescent="0.25">
      <c r="L909" s="1">
        <f t="shared" si="14"/>
        <v>0</v>
      </c>
      <c r="N909" s="6" t="str">
        <f>IF(ISERROR(VLOOKUP($A909,'Plano de Contas'!#REF!,7)),"",VLOOKUP($A909,'Plano de Contas'!#REF!,7))</f>
        <v/>
      </c>
    </row>
    <row r="910" spans="12:14" x14ac:dyDescent="0.25">
      <c r="L910" s="1">
        <f t="shared" si="14"/>
        <v>0</v>
      </c>
      <c r="N910" s="6" t="str">
        <f>IF(ISERROR(VLOOKUP($A910,'Plano de Contas'!#REF!,7)),"",VLOOKUP($A910,'Plano de Contas'!#REF!,7))</f>
        <v/>
      </c>
    </row>
    <row r="911" spans="12:14" x14ac:dyDescent="0.25">
      <c r="L911" s="1">
        <f t="shared" si="14"/>
        <v>0</v>
      </c>
      <c r="N911" s="6" t="str">
        <f>IF(ISERROR(VLOOKUP($A911,'Plano de Contas'!#REF!,7)),"",VLOOKUP($A911,'Plano de Contas'!#REF!,7))</f>
        <v/>
      </c>
    </row>
    <row r="912" spans="12:14" x14ac:dyDescent="0.25">
      <c r="L912" s="1">
        <f t="shared" si="14"/>
        <v>0</v>
      </c>
      <c r="N912" s="6" t="str">
        <f>IF(ISERROR(VLOOKUP($A912,'Plano de Contas'!#REF!,7)),"",VLOOKUP($A912,'Plano de Contas'!#REF!,7))</f>
        <v/>
      </c>
    </row>
    <row r="913" spans="12:14" x14ac:dyDescent="0.25">
      <c r="L913" s="1">
        <f t="shared" si="14"/>
        <v>0</v>
      </c>
      <c r="N913" s="6" t="str">
        <f>IF(ISERROR(VLOOKUP($A913,'Plano de Contas'!#REF!,7)),"",VLOOKUP($A913,'Plano de Contas'!#REF!,7))</f>
        <v/>
      </c>
    </row>
    <row r="914" spans="12:14" x14ac:dyDescent="0.25">
      <c r="L914" s="1">
        <f t="shared" si="14"/>
        <v>0</v>
      </c>
      <c r="N914" s="6" t="str">
        <f>IF(ISERROR(VLOOKUP($A914,'Plano de Contas'!#REF!,7)),"",VLOOKUP($A914,'Plano de Contas'!#REF!,7))</f>
        <v/>
      </c>
    </row>
    <row r="915" spans="12:14" x14ac:dyDescent="0.25">
      <c r="L915" s="1">
        <f t="shared" si="14"/>
        <v>0</v>
      </c>
      <c r="N915" s="6" t="str">
        <f>IF(ISERROR(VLOOKUP($A915,'Plano de Contas'!#REF!,7)),"",VLOOKUP($A915,'Plano de Contas'!#REF!,7))</f>
        <v/>
      </c>
    </row>
    <row r="916" spans="12:14" x14ac:dyDescent="0.25">
      <c r="L916" s="1">
        <f t="shared" si="14"/>
        <v>0</v>
      </c>
      <c r="N916" s="6" t="str">
        <f>IF(ISERROR(VLOOKUP($A916,'Plano de Contas'!#REF!,7)),"",VLOOKUP($A916,'Plano de Contas'!#REF!,7))</f>
        <v/>
      </c>
    </row>
    <row r="917" spans="12:14" x14ac:dyDescent="0.25">
      <c r="L917" s="1">
        <f t="shared" si="14"/>
        <v>0</v>
      </c>
      <c r="N917" s="6" t="str">
        <f>IF(ISERROR(VLOOKUP($A917,'Plano de Contas'!#REF!,7)),"",VLOOKUP($A917,'Plano de Contas'!#REF!,7))</f>
        <v/>
      </c>
    </row>
    <row r="918" spans="12:14" x14ac:dyDescent="0.25">
      <c r="L918" s="1">
        <f t="shared" si="14"/>
        <v>0</v>
      </c>
      <c r="N918" s="6" t="str">
        <f>IF(ISERROR(VLOOKUP($A918,'Plano de Contas'!#REF!,7)),"",VLOOKUP($A918,'Plano de Contas'!#REF!,7))</f>
        <v/>
      </c>
    </row>
    <row r="919" spans="12:14" x14ac:dyDescent="0.25">
      <c r="L919" s="1">
        <f t="shared" si="14"/>
        <v>0</v>
      </c>
      <c r="N919" s="6" t="str">
        <f>IF(ISERROR(VLOOKUP($A919,'Plano de Contas'!#REF!,7)),"",VLOOKUP($A919,'Plano de Contas'!#REF!,7))</f>
        <v/>
      </c>
    </row>
    <row r="920" spans="12:14" x14ac:dyDescent="0.25">
      <c r="L920" s="1">
        <f t="shared" si="14"/>
        <v>0</v>
      </c>
      <c r="N920" s="6" t="str">
        <f>IF(ISERROR(VLOOKUP($A920,'Plano de Contas'!#REF!,7)),"",VLOOKUP($A920,'Plano de Contas'!#REF!,7))</f>
        <v/>
      </c>
    </row>
    <row r="921" spans="12:14" x14ac:dyDescent="0.25">
      <c r="L921" s="1">
        <f t="shared" si="14"/>
        <v>0</v>
      </c>
      <c r="N921" s="6" t="str">
        <f>IF(ISERROR(VLOOKUP($A921,'Plano de Contas'!#REF!,7)),"",VLOOKUP($A921,'Plano de Contas'!#REF!,7))</f>
        <v/>
      </c>
    </row>
    <row r="922" spans="12:14" x14ac:dyDescent="0.25">
      <c r="L922" s="1">
        <f t="shared" si="14"/>
        <v>0</v>
      </c>
      <c r="N922" s="6" t="str">
        <f>IF(ISERROR(VLOOKUP($A922,'Plano de Contas'!#REF!,7)),"",VLOOKUP($A922,'Plano de Contas'!#REF!,7))</f>
        <v/>
      </c>
    </row>
    <row r="923" spans="12:14" x14ac:dyDescent="0.25">
      <c r="L923" s="1">
        <f t="shared" si="14"/>
        <v>0</v>
      </c>
      <c r="N923" s="6" t="str">
        <f>IF(ISERROR(VLOOKUP($A923,'Plano de Contas'!#REF!,7)),"",VLOOKUP($A923,'Plano de Contas'!#REF!,7))</f>
        <v/>
      </c>
    </row>
    <row r="924" spans="12:14" x14ac:dyDescent="0.25">
      <c r="L924" s="1">
        <f t="shared" si="14"/>
        <v>0</v>
      </c>
      <c r="N924" s="6" t="str">
        <f>IF(ISERROR(VLOOKUP($A924,'Plano de Contas'!#REF!,7)),"",VLOOKUP($A924,'Plano de Contas'!#REF!,7))</f>
        <v/>
      </c>
    </row>
    <row r="925" spans="12:14" x14ac:dyDescent="0.25">
      <c r="L925" s="1">
        <f t="shared" si="14"/>
        <v>0</v>
      </c>
      <c r="N925" s="6" t="str">
        <f>IF(ISERROR(VLOOKUP($A925,'Plano de Contas'!#REF!,7)),"",VLOOKUP($A925,'Plano de Contas'!#REF!,7))</f>
        <v/>
      </c>
    </row>
    <row r="926" spans="12:14" x14ac:dyDescent="0.25">
      <c r="L926" s="1">
        <f t="shared" si="14"/>
        <v>0</v>
      </c>
      <c r="N926" s="6" t="str">
        <f>IF(ISERROR(VLOOKUP($A926,'Plano de Contas'!#REF!,7)),"",VLOOKUP($A926,'Plano de Contas'!#REF!,7))</f>
        <v/>
      </c>
    </row>
    <row r="927" spans="12:14" x14ac:dyDescent="0.25">
      <c r="L927" s="1">
        <f t="shared" si="14"/>
        <v>0</v>
      </c>
      <c r="N927" s="6" t="str">
        <f>IF(ISERROR(VLOOKUP($A927,'Plano de Contas'!#REF!,7)),"",VLOOKUP($A927,'Plano de Contas'!#REF!,7))</f>
        <v/>
      </c>
    </row>
    <row r="928" spans="12:14" x14ac:dyDescent="0.25">
      <c r="L928" s="1">
        <f t="shared" si="14"/>
        <v>0</v>
      </c>
      <c r="N928" s="6" t="str">
        <f>IF(ISERROR(VLOOKUP($A928,'Plano de Contas'!#REF!,7)),"",VLOOKUP($A928,'Plano de Contas'!#REF!,7))</f>
        <v/>
      </c>
    </row>
    <row r="929" spans="12:14" x14ac:dyDescent="0.25">
      <c r="L929" s="1">
        <f t="shared" si="14"/>
        <v>0</v>
      </c>
      <c r="N929" s="6" t="str">
        <f>IF(ISERROR(VLOOKUP($A929,'Plano de Contas'!#REF!,7)),"",VLOOKUP($A929,'Plano de Contas'!#REF!,7))</f>
        <v/>
      </c>
    </row>
    <row r="930" spans="12:14" x14ac:dyDescent="0.25">
      <c r="L930" s="1">
        <f t="shared" si="14"/>
        <v>0</v>
      </c>
      <c r="N930" s="6" t="str">
        <f>IF(ISERROR(VLOOKUP($A930,'Plano de Contas'!#REF!,7)),"",VLOOKUP($A930,'Plano de Contas'!#REF!,7))</f>
        <v/>
      </c>
    </row>
    <row r="931" spans="12:14" x14ac:dyDescent="0.25">
      <c r="L931" s="1">
        <f t="shared" si="14"/>
        <v>0</v>
      </c>
      <c r="N931" s="6" t="str">
        <f>IF(ISERROR(VLOOKUP($A931,'Plano de Contas'!#REF!,7)),"",VLOOKUP($A931,'Plano de Contas'!#REF!,7))</f>
        <v/>
      </c>
    </row>
    <row r="932" spans="12:14" x14ac:dyDescent="0.25">
      <c r="L932" s="1">
        <f t="shared" si="14"/>
        <v>0</v>
      </c>
      <c r="N932" s="6" t="str">
        <f>IF(ISERROR(VLOOKUP($A932,'Plano de Contas'!#REF!,7)),"",VLOOKUP($A932,'Plano de Contas'!#REF!,7))</f>
        <v/>
      </c>
    </row>
    <row r="933" spans="12:14" x14ac:dyDescent="0.25">
      <c r="L933" s="1">
        <f t="shared" si="14"/>
        <v>0</v>
      </c>
      <c r="N933" s="6" t="str">
        <f>IF(ISERROR(VLOOKUP($A933,'Plano de Contas'!#REF!,7)),"",VLOOKUP($A933,'Plano de Contas'!#REF!,7))</f>
        <v/>
      </c>
    </row>
    <row r="934" spans="12:14" x14ac:dyDescent="0.25">
      <c r="L934" s="1">
        <f t="shared" si="14"/>
        <v>0</v>
      </c>
      <c r="N934" s="6" t="str">
        <f>IF(ISERROR(VLOOKUP($A934,'Plano de Contas'!#REF!,7)),"",VLOOKUP($A934,'Plano de Contas'!#REF!,7))</f>
        <v/>
      </c>
    </row>
    <row r="935" spans="12:14" x14ac:dyDescent="0.25">
      <c r="L935" s="1">
        <f t="shared" si="14"/>
        <v>0</v>
      </c>
      <c r="N935" s="6" t="str">
        <f>IF(ISERROR(VLOOKUP($A935,'Plano de Contas'!#REF!,7)),"",VLOOKUP($A935,'Plano de Contas'!#REF!,7))</f>
        <v/>
      </c>
    </row>
    <row r="936" spans="12:14" x14ac:dyDescent="0.25">
      <c r="L936" s="1">
        <f t="shared" si="14"/>
        <v>0</v>
      </c>
      <c r="N936" s="6" t="str">
        <f>IF(ISERROR(VLOOKUP($A936,'Plano de Contas'!#REF!,7)),"",VLOOKUP($A936,'Plano de Contas'!#REF!,7))</f>
        <v/>
      </c>
    </row>
    <row r="937" spans="12:14" x14ac:dyDescent="0.25">
      <c r="L937" s="1">
        <f t="shared" si="14"/>
        <v>0</v>
      </c>
      <c r="N937" s="6" t="str">
        <f>IF(ISERROR(VLOOKUP($A937,'Plano de Contas'!#REF!,7)),"",VLOOKUP($A937,'Plano de Contas'!#REF!,7))</f>
        <v/>
      </c>
    </row>
    <row r="938" spans="12:14" x14ac:dyDescent="0.25">
      <c r="L938" s="1">
        <f t="shared" si="14"/>
        <v>0</v>
      </c>
      <c r="N938" s="6" t="str">
        <f>IF(ISERROR(VLOOKUP($A938,'Plano de Contas'!#REF!,7)),"",VLOOKUP($A938,'Plano de Contas'!#REF!,7))</f>
        <v/>
      </c>
    </row>
    <row r="939" spans="12:14" x14ac:dyDescent="0.25">
      <c r="L939" s="1">
        <f t="shared" si="14"/>
        <v>0</v>
      </c>
      <c r="N939" s="6" t="str">
        <f>IF(ISERROR(VLOOKUP($A939,'Plano de Contas'!#REF!,7)),"",VLOOKUP($A939,'Plano de Contas'!#REF!,7))</f>
        <v/>
      </c>
    </row>
    <row r="940" spans="12:14" x14ac:dyDescent="0.25">
      <c r="L940" s="1">
        <f t="shared" si="14"/>
        <v>0</v>
      </c>
      <c r="N940" s="6" t="str">
        <f>IF(ISERROR(VLOOKUP($A940,'Plano de Contas'!#REF!,7)),"",VLOOKUP($A940,'Plano de Contas'!#REF!,7))</f>
        <v/>
      </c>
    </row>
    <row r="941" spans="12:14" x14ac:dyDescent="0.25">
      <c r="L941" s="1">
        <f t="shared" si="14"/>
        <v>0</v>
      </c>
      <c r="N941" s="6" t="str">
        <f>IF(ISERROR(VLOOKUP($A941,'Plano de Contas'!#REF!,7)),"",VLOOKUP($A941,'Plano de Contas'!#REF!,7))</f>
        <v/>
      </c>
    </row>
    <row r="942" spans="12:14" x14ac:dyDescent="0.25">
      <c r="L942" s="1">
        <f t="shared" si="14"/>
        <v>0</v>
      </c>
      <c r="N942" s="6" t="str">
        <f>IF(ISERROR(VLOOKUP($A942,'Plano de Contas'!#REF!,7)),"",VLOOKUP($A942,'Plano de Contas'!#REF!,7))</f>
        <v/>
      </c>
    </row>
    <row r="943" spans="12:14" x14ac:dyDescent="0.25">
      <c r="L943" s="1">
        <f t="shared" si="14"/>
        <v>0</v>
      </c>
      <c r="N943" s="6" t="str">
        <f>IF(ISERROR(VLOOKUP($A943,'Plano de Contas'!#REF!,7)),"",VLOOKUP($A943,'Plano de Contas'!#REF!,7))</f>
        <v/>
      </c>
    </row>
    <row r="944" spans="12:14" x14ac:dyDescent="0.25">
      <c r="L944" s="1">
        <f t="shared" si="14"/>
        <v>0</v>
      </c>
      <c r="N944" s="6" t="str">
        <f>IF(ISERROR(VLOOKUP($A944,'Plano de Contas'!#REF!,7)),"",VLOOKUP($A944,'Plano de Contas'!#REF!,7))</f>
        <v/>
      </c>
    </row>
    <row r="945" spans="12:14" x14ac:dyDescent="0.25">
      <c r="L945" s="1">
        <f t="shared" si="14"/>
        <v>0</v>
      </c>
      <c r="N945" s="6" t="str">
        <f>IF(ISERROR(VLOOKUP($A945,'Plano de Contas'!#REF!,7)),"",VLOOKUP($A945,'Plano de Contas'!#REF!,7))</f>
        <v/>
      </c>
    </row>
    <row r="946" spans="12:14" x14ac:dyDescent="0.25">
      <c r="L946" s="1">
        <f t="shared" si="14"/>
        <v>0</v>
      </c>
      <c r="N946" s="6" t="str">
        <f>IF(ISERROR(VLOOKUP($A946,'Plano de Contas'!#REF!,7)),"",VLOOKUP($A946,'Plano de Contas'!#REF!,7))</f>
        <v/>
      </c>
    </row>
    <row r="947" spans="12:14" x14ac:dyDescent="0.25">
      <c r="L947" s="1">
        <f t="shared" si="14"/>
        <v>0</v>
      </c>
      <c r="N947" s="6" t="str">
        <f>IF(ISERROR(VLOOKUP($A947,'Plano de Contas'!#REF!,7)),"",VLOOKUP($A947,'Plano de Contas'!#REF!,7))</f>
        <v/>
      </c>
    </row>
    <row r="948" spans="12:14" x14ac:dyDescent="0.25">
      <c r="L948" s="1">
        <f t="shared" si="14"/>
        <v>0</v>
      </c>
      <c r="N948" s="6" t="str">
        <f>IF(ISERROR(VLOOKUP($A948,'Plano de Contas'!#REF!,7)),"",VLOOKUP($A948,'Plano de Contas'!#REF!,7))</f>
        <v/>
      </c>
    </row>
    <row r="949" spans="12:14" x14ac:dyDescent="0.25">
      <c r="L949" s="1">
        <f t="shared" si="14"/>
        <v>0</v>
      </c>
      <c r="N949" s="6" t="str">
        <f>IF(ISERROR(VLOOKUP($A949,'Plano de Contas'!#REF!,7)),"",VLOOKUP($A949,'Plano de Contas'!#REF!,7))</f>
        <v/>
      </c>
    </row>
    <row r="950" spans="12:14" x14ac:dyDescent="0.25">
      <c r="L950" s="1">
        <f t="shared" si="14"/>
        <v>0</v>
      </c>
      <c r="N950" s="6" t="str">
        <f>IF(ISERROR(VLOOKUP($A950,'Plano de Contas'!#REF!,7)),"",VLOOKUP($A950,'Plano de Contas'!#REF!,7))</f>
        <v/>
      </c>
    </row>
    <row r="951" spans="12:14" x14ac:dyDescent="0.25">
      <c r="L951" s="1">
        <f t="shared" si="14"/>
        <v>0</v>
      </c>
      <c r="N951" s="6" t="str">
        <f>IF(ISERROR(VLOOKUP($A951,'Plano de Contas'!#REF!,7)),"",VLOOKUP($A951,'Plano de Contas'!#REF!,7))</f>
        <v/>
      </c>
    </row>
    <row r="952" spans="12:14" x14ac:dyDescent="0.25">
      <c r="L952" s="1">
        <f t="shared" si="14"/>
        <v>0</v>
      </c>
      <c r="N952" s="6" t="str">
        <f>IF(ISERROR(VLOOKUP($A952,'Plano de Contas'!#REF!,7)),"",VLOOKUP($A952,'Plano de Contas'!#REF!,7))</f>
        <v/>
      </c>
    </row>
    <row r="953" spans="12:14" x14ac:dyDescent="0.25">
      <c r="L953" s="1">
        <f t="shared" si="14"/>
        <v>0</v>
      </c>
      <c r="N953" s="6" t="str">
        <f>IF(ISERROR(VLOOKUP($A953,'Plano de Contas'!#REF!,7)),"",VLOOKUP($A953,'Plano de Contas'!#REF!,7))</f>
        <v/>
      </c>
    </row>
    <row r="954" spans="12:14" x14ac:dyDescent="0.25">
      <c r="L954" s="1">
        <f t="shared" si="14"/>
        <v>0</v>
      </c>
      <c r="N954" s="6" t="str">
        <f>IF(ISERROR(VLOOKUP($A954,'Plano de Contas'!#REF!,7)),"",VLOOKUP($A954,'Plano de Contas'!#REF!,7))</f>
        <v/>
      </c>
    </row>
    <row r="955" spans="12:14" x14ac:dyDescent="0.25">
      <c r="L955" s="1">
        <f t="shared" si="14"/>
        <v>0</v>
      </c>
      <c r="N955" s="6" t="str">
        <f>IF(ISERROR(VLOOKUP($A955,'Plano de Contas'!#REF!,7)),"",VLOOKUP($A955,'Plano de Contas'!#REF!,7))</f>
        <v/>
      </c>
    </row>
    <row r="956" spans="12:14" x14ac:dyDescent="0.25">
      <c r="L956" s="1">
        <f t="shared" si="14"/>
        <v>0</v>
      </c>
      <c r="N956" s="6" t="str">
        <f>IF(ISERROR(VLOOKUP($A956,'Plano de Contas'!#REF!,7)),"",VLOOKUP($A956,'Plano de Contas'!#REF!,7))</f>
        <v/>
      </c>
    </row>
    <row r="957" spans="12:14" x14ac:dyDescent="0.25">
      <c r="L957" s="1">
        <f t="shared" si="14"/>
        <v>0</v>
      </c>
      <c r="N957" s="6" t="str">
        <f>IF(ISERROR(VLOOKUP($A957,'Plano de Contas'!#REF!,7)),"",VLOOKUP($A957,'Plano de Contas'!#REF!,7))</f>
        <v/>
      </c>
    </row>
    <row r="958" spans="12:14" x14ac:dyDescent="0.25">
      <c r="L958" s="1">
        <f t="shared" si="14"/>
        <v>0</v>
      </c>
      <c r="N958" s="6" t="str">
        <f>IF(ISERROR(VLOOKUP($A958,'Plano de Contas'!#REF!,7)),"",VLOOKUP($A958,'Plano de Contas'!#REF!,7))</f>
        <v/>
      </c>
    </row>
    <row r="959" spans="12:14" x14ac:dyDescent="0.25">
      <c r="L959" s="1">
        <f t="shared" si="14"/>
        <v>0</v>
      </c>
      <c r="N959" s="6" t="str">
        <f>IF(ISERROR(VLOOKUP($A959,'Plano de Contas'!#REF!,7)),"",VLOOKUP($A959,'Plano de Contas'!#REF!,7))</f>
        <v/>
      </c>
    </row>
    <row r="960" spans="12:14" x14ac:dyDescent="0.25">
      <c r="L960" s="1">
        <f t="shared" si="14"/>
        <v>0</v>
      </c>
      <c r="N960" s="6" t="str">
        <f>IF(ISERROR(VLOOKUP($A960,'Plano de Contas'!#REF!,7)),"",VLOOKUP($A960,'Plano de Contas'!#REF!,7))</f>
        <v/>
      </c>
    </row>
    <row r="961" spans="12:14" x14ac:dyDescent="0.25">
      <c r="L961" s="1">
        <f t="shared" si="14"/>
        <v>0</v>
      </c>
      <c r="N961" s="6" t="str">
        <f>IF(ISERROR(VLOOKUP($A961,'Plano de Contas'!#REF!,7)),"",VLOOKUP($A961,'Plano de Contas'!#REF!,7))</f>
        <v/>
      </c>
    </row>
    <row r="962" spans="12:14" x14ac:dyDescent="0.25">
      <c r="L962" s="1">
        <f t="shared" si="14"/>
        <v>0</v>
      </c>
      <c r="N962" s="6" t="str">
        <f>IF(ISERROR(VLOOKUP($A962,'Plano de Contas'!#REF!,7)),"",VLOOKUP($A962,'Plano de Contas'!#REF!,7))</f>
        <v/>
      </c>
    </row>
    <row r="963" spans="12:14" x14ac:dyDescent="0.25">
      <c r="L963" s="1">
        <f t="shared" si="14"/>
        <v>0</v>
      </c>
      <c r="N963" s="6" t="str">
        <f>IF(ISERROR(VLOOKUP($A963,'Plano de Contas'!#REF!,7)),"",VLOOKUP($A963,'Plano de Contas'!#REF!,7))</f>
        <v/>
      </c>
    </row>
    <row r="964" spans="12:14" x14ac:dyDescent="0.25">
      <c r="L964" s="1">
        <f t="shared" si="14"/>
        <v>0</v>
      </c>
      <c r="N964" s="6" t="str">
        <f>IF(ISERROR(VLOOKUP($A964,'Plano de Contas'!#REF!,7)),"",VLOOKUP($A964,'Plano de Contas'!#REF!,7))</f>
        <v/>
      </c>
    </row>
    <row r="965" spans="12:14" x14ac:dyDescent="0.25">
      <c r="L965" s="1">
        <f t="shared" si="14"/>
        <v>0</v>
      </c>
      <c r="N965" s="6" t="str">
        <f>IF(ISERROR(VLOOKUP($A965,'Plano de Contas'!#REF!,7)),"",VLOOKUP($A965,'Plano de Contas'!#REF!,7))</f>
        <v/>
      </c>
    </row>
    <row r="966" spans="12:14" x14ac:dyDescent="0.25">
      <c r="L966" s="1">
        <f t="shared" si="14"/>
        <v>0</v>
      </c>
      <c r="N966" s="6" t="str">
        <f>IF(ISERROR(VLOOKUP($A966,'Plano de Contas'!#REF!,7)),"",VLOOKUP($A966,'Plano de Contas'!#REF!,7))</f>
        <v/>
      </c>
    </row>
    <row r="967" spans="12:14" x14ac:dyDescent="0.25">
      <c r="L967" s="1">
        <f t="shared" si="14"/>
        <v>0</v>
      </c>
      <c r="N967" s="6" t="str">
        <f>IF(ISERROR(VLOOKUP($A967,'Plano de Contas'!#REF!,7)),"",VLOOKUP($A967,'Plano de Contas'!#REF!,7))</f>
        <v/>
      </c>
    </row>
    <row r="968" spans="12:14" x14ac:dyDescent="0.25">
      <c r="L968" s="1">
        <f t="shared" si="14"/>
        <v>0</v>
      </c>
      <c r="N968" s="6" t="str">
        <f>IF(ISERROR(VLOOKUP($A968,'Plano de Contas'!#REF!,7)),"",VLOOKUP($A968,'Plano de Contas'!#REF!,7))</f>
        <v/>
      </c>
    </row>
    <row r="969" spans="12:14" x14ac:dyDescent="0.25">
      <c r="L969" s="1">
        <f t="shared" si="14"/>
        <v>0</v>
      </c>
      <c r="N969" s="6" t="str">
        <f>IF(ISERROR(VLOOKUP($A969,'Plano de Contas'!#REF!,7)),"",VLOOKUP($A969,'Plano de Contas'!#REF!,7))</f>
        <v/>
      </c>
    </row>
    <row r="970" spans="12:14" x14ac:dyDescent="0.25">
      <c r="L970" s="1">
        <f t="shared" si="14"/>
        <v>0</v>
      </c>
      <c r="N970" s="6" t="str">
        <f>IF(ISERROR(VLOOKUP($A970,'Plano de Contas'!#REF!,7)),"",VLOOKUP($A970,'Plano de Contas'!#REF!,7))</f>
        <v/>
      </c>
    </row>
    <row r="971" spans="12:14" x14ac:dyDescent="0.25">
      <c r="L971" s="1">
        <f t="shared" si="14"/>
        <v>0</v>
      </c>
      <c r="N971" s="6" t="str">
        <f>IF(ISERROR(VLOOKUP($A971,'Plano de Contas'!#REF!,7)),"",VLOOKUP($A971,'Plano de Contas'!#REF!,7))</f>
        <v/>
      </c>
    </row>
    <row r="972" spans="12:14" x14ac:dyDescent="0.25">
      <c r="L972" s="1">
        <f t="shared" ref="L972:L1004" si="15">IF(K972="-",-J972,J972)</f>
        <v>0</v>
      </c>
      <c r="N972" s="6" t="str">
        <f>IF(ISERROR(VLOOKUP($A972,'Plano de Contas'!#REF!,7)),"",VLOOKUP($A972,'Plano de Contas'!#REF!,7))</f>
        <v/>
      </c>
    </row>
    <row r="973" spans="12:14" x14ac:dyDescent="0.25">
      <c r="L973" s="1">
        <f t="shared" si="15"/>
        <v>0</v>
      </c>
      <c r="N973" s="6" t="str">
        <f>IF(ISERROR(VLOOKUP($A973,'Plano de Contas'!#REF!,7)),"",VLOOKUP($A973,'Plano de Contas'!#REF!,7))</f>
        <v/>
      </c>
    </row>
    <row r="974" spans="12:14" x14ac:dyDescent="0.25">
      <c r="L974" s="1">
        <f t="shared" si="15"/>
        <v>0</v>
      </c>
      <c r="N974" s="6" t="str">
        <f>IF(ISERROR(VLOOKUP($A974,'Plano de Contas'!#REF!,7)),"",VLOOKUP($A974,'Plano de Contas'!#REF!,7))</f>
        <v/>
      </c>
    </row>
    <row r="975" spans="12:14" x14ac:dyDescent="0.25">
      <c r="L975" s="1">
        <f t="shared" si="15"/>
        <v>0</v>
      </c>
      <c r="N975" s="6" t="str">
        <f>IF(ISERROR(VLOOKUP($A975,'Plano de Contas'!#REF!,7)),"",VLOOKUP($A975,'Plano de Contas'!#REF!,7))</f>
        <v/>
      </c>
    </row>
    <row r="976" spans="12:14" x14ac:dyDescent="0.25">
      <c r="L976" s="1">
        <f t="shared" si="15"/>
        <v>0</v>
      </c>
      <c r="N976" s="6" t="str">
        <f>IF(ISERROR(VLOOKUP($A976,'Plano de Contas'!#REF!,7)),"",VLOOKUP($A976,'Plano de Contas'!#REF!,7))</f>
        <v/>
      </c>
    </row>
    <row r="977" spans="12:14" x14ac:dyDescent="0.25">
      <c r="L977" s="1">
        <f t="shared" si="15"/>
        <v>0</v>
      </c>
      <c r="N977" s="6" t="str">
        <f>IF(ISERROR(VLOOKUP($A977,'Plano de Contas'!#REF!,7)),"",VLOOKUP($A977,'Plano de Contas'!#REF!,7))</f>
        <v/>
      </c>
    </row>
    <row r="978" spans="12:14" x14ac:dyDescent="0.25">
      <c r="L978" s="1">
        <f t="shared" si="15"/>
        <v>0</v>
      </c>
      <c r="N978" s="6" t="str">
        <f>IF(ISERROR(VLOOKUP($A978,'Plano de Contas'!#REF!,7)),"",VLOOKUP($A978,'Plano de Contas'!#REF!,7))</f>
        <v/>
      </c>
    </row>
    <row r="979" spans="12:14" x14ac:dyDescent="0.25">
      <c r="L979" s="1">
        <f t="shared" si="15"/>
        <v>0</v>
      </c>
      <c r="N979" s="6" t="str">
        <f>IF(ISERROR(VLOOKUP($A979,'Plano de Contas'!#REF!,7)),"",VLOOKUP($A979,'Plano de Contas'!#REF!,7))</f>
        <v/>
      </c>
    </row>
    <row r="980" spans="12:14" x14ac:dyDescent="0.25">
      <c r="L980" s="1">
        <f t="shared" si="15"/>
        <v>0</v>
      </c>
      <c r="N980" s="6" t="str">
        <f>IF(ISERROR(VLOOKUP($A980,'Plano de Contas'!#REF!,7)),"",VLOOKUP($A980,'Plano de Contas'!#REF!,7))</f>
        <v/>
      </c>
    </row>
    <row r="981" spans="12:14" x14ac:dyDescent="0.25">
      <c r="L981" s="1">
        <f t="shared" si="15"/>
        <v>0</v>
      </c>
      <c r="N981" s="6" t="str">
        <f>IF(ISERROR(VLOOKUP($A981,'Plano de Contas'!#REF!,7)),"",VLOOKUP($A981,'Plano de Contas'!#REF!,7))</f>
        <v/>
      </c>
    </row>
    <row r="982" spans="12:14" x14ac:dyDescent="0.25">
      <c r="L982" s="1">
        <f t="shared" si="15"/>
        <v>0</v>
      </c>
      <c r="N982" s="6" t="str">
        <f>IF(ISERROR(VLOOKUP($A982,'Plano de Contas'!#REF!,7)),"",VLOOKUP($A982,'Plano de Contas'!#REF!,7))</f>
        <v/>
      </c>
    </row>
    <row r="983" spans="12:14" x14ac:dyDescent="0.25">
      <c r="L983" s="1">
        <f t="shared" si="15"/>
        <v>0</v>
      </c>
      <c r="N983" s="6" t="str">
        <f>IF(ISERROR(VLOOKUP($A983,'Plano de Contas'!#REF!,7)),"",VLOOKUP($A983,'Plano de Contas'!#REF!,7))</f>
        <v/>
      </c>
    </row>
    <row r="984" spans="12:14" x14ac:dyDescent="0.25">
      <c r="L984" s="1">
        <f t="shared" si="15"/>
        <v>0</v>
      </c>
      <c r="N984" s="6" t="str">
        <f>IF(ISERROR(VLOOKUP($A984,'Plano de Contas'!#REF!,7)),"",VLOOKUP($A984,'Plano de Contas'!#REF!,7))</f>
        <v/>
      </c>
    </row>
    <row r="985" spans="12:14" x14ac:dyDescent="0.25">
      <c r="L985" s="1">
        <f t="shared" si="15"/>
        <v>0</v>
      </c>
      <c r="N985" s="6" t="str">
        <f>IF(ISERROR(VLOOKUP($A985,'Plano de Contas'!#REF!,7)),"",VLOOKUP($A985,'Plano de Contas'!#REF!,7))</f>
        <v/>
      </c>
    </row>
    <row r="986" spans="12:14" x14ac:dyDescent="0.25">
      <c r="L986" s="1">
        <f t="shared" si="15"/>
        <v>0</v>
      </c>
      <c r="N986" s="6" t="str">
        <f>IF(ISERROR(VLOOKUP($A986,'Plano de Contas'!#REF!,7)),"",VLOOKUP($A986,'Plano de Contas'!#REF!,7))</f>
        <v/>
      </c>
    </row>
    <row r="987" spans="12:14" x14ac:dyDescent="0.25">
      <c r="L987" s="1">
        <f t="shared" si="15"/>
        <v>0</v>
      </c>
      <c r="N987" s="6" t="str">
        <f>IF(ISERROR(VLOOKUP($A987,'Plano de Contas'!#REF!,7)),"",VLOOKUP($A987,'Plano de Contas'!#REF!,7))</f>
        <v/>
      </c>
    </row>
    <row r="988" spans="12:14" x14ac:dyDescent="0.25">
      <c r="L988" s="1">
        <f t="shared" si="15"/>
        <v>0</v>
      </c>
      <c r="N988" s="6" t="str">
        <f>IF(ISERROR(VLOOKUP($A988,'Plano de Contas'!#REF!,7)),"",VLOOKUP($A988,'Plano de Contas'!#REF!,7))</f>
        <v/>
      </c>
    </row>
    <row r="989" spans="12:14" x14ac:dyDescent="0.25">
      <c r="L989" s="1">
        <f t="shared" si="15"/>
        <v>0</v>
      </c>
      <c r="N989" s="6" t="str">
        <f>IF(ISERROR(VLOOKUP($A989,'Plano de Contas'!#REF!,7)),"",VLOOKUP($A989,'Plano de Contas'!#REF!,7))</f>
        <v/>
      </c>
    </row>
    <row r="990" spans="12:14" x14ac:dyDescent="0.25">
      <c r="L990" s="1">
        <f t="shared" si="15"/>
        <v>0</v>
      </c>
      <c r="N990" s="6" t="str">
        <f>IF(ISERROR(VLOOKUP($A990,'Plano de Contas'!#REF!,7)),"",VLOOKUP($A990,'Plano de Contas'!#REF!,7))</f>
        <v/>
      </c>
    </row>
    <row r="991" spans="12:14" x14ac:dyDescent="0.25">
      <c r="L991" s="1">
        <f t="shared" si="15"/>
        <v>0</v>
      </c>
      <c r="N991" s="6" t="str">
        <f>IF(ISERROR(VLOOKUP($A991,'Plano de Contas'!#REF!,7)),"",VLOOKUP($A991,'Plano de Contas'!#REF!,7))</f>
        <v/>
      </c>
    </row>
    <row r="992" spans="12:14" x14ac:dyDescent="0.25">
      <c r="L992" s="1">
        <f t="shared" si="15"/>
        <v>0</v>
      </c>
      <c r="N992" s="6" t="str">
        <f>IF(ISERROR(VLOOKUP($A992,'Plano de Contas'!#REF!,7)),"",VLOOKUP($A992,'Plano de Contas'!#REF!,7))</f>
        <v/>
      </c>
    </row>
    <row r="993" spans="12:14" x14ac:dyDescent="0.25">
      <c r="L993" s="1">
        <f t="shared" si="15"/>
        <v>0</v>
      </c>
      <c r="N993" s="6" t="str">
        <f>IF(ISERROR(VLOOKUP($A993,'Plano de Contas'!#REF!,7)),"",VLOOKUP($A993,'Plano de Contas'!#REF!,7))</f>
        <v/>
      </c>
    </row>
    <row r="994" spans="12:14" x14ac:dyDescent="0.25">
      <c r="L994" s="1">
        <f t="shared" si="15"/>
        <v>0</v>
      </c>
      <c r="N994" s="6" t="str">
        <f>IF(ISERROR(VLOOKUP($A994,'Plano de Contas'!#REF!,7)),"",VLOOKUP($A994,'Plano de Contas'!#REF!,7))</f>
        <v/>
      </c>
    </row>
    <row r="995" spans="12:14" x14ac:dyDescent="0.25">
      <c r="L995" s="1">
        <f t="shared" si="15"/>
        <v>0</v>
      </c>
      <c r="N995" s="6" t="str">
        <f>IF(ISERROR(VLOOKUP($A995,'Plano de Contas'!#REF!,7)),"",VLOOKUP($A995,'Plano de Contas'!#REF!,7))</f>
        <v/>
      </c>
    </row>
    <row r="996" spans="12:14" x14ac:dyDescent="0.25">
      <c r="L996" s="1">
        <f t="shared" si="15"/>
        <v>0</v>
      </c>
      <c r="N996" s="6" t="str">
        <f>IF(ISERROR(VLOOKUP($A996,'Plano de Contas'!#REF!,7)),"",VLOOKUP($A996,'Plano de Contas'!#REF!,7))</f>
        <v/>
      </c>
    </row>
    <row r="997" spans="12:14" x14ac:dyDescent="0.25">
      <c r="L997" s="1">
        <f t="shared" si="15"/>
        <v>0</v>
      </c>
      <c r="N997" s="6" t="str">
        <f>IF(ISERROR(VLOOKUP($A997,'Plano de Contas'!#REF!,7)),"",VLOOKUP($A997,'Plano de Contas'!#REF!,7))</f>
        <v/>
      </c>
    </row>
    <row r="998" spans="12:14" x14ac:dyDescent="0.25">
      <c r="L998" s="1">
        <f t="shared" si="15"/>
        <v>0</v>
      </c>
      <c r="N998" s="6" t="str">
        <f>IF(ISERROR(VLOOKUP($A998,'Plano de Contas'!#REF!,7)),"",VLOOKUP($A998,'Plano de Contas'!#REF!,7))</f>
        <v/>
      </c>
    </row>
    <row r="999" spans="12:14" x14ac:dyDescent="0.25">
      <c r="L999" s="1">
        <f t="shared" si="15"/>
        <v>0</v>
      </c>
      <c r="N999" s="6" t="str">
        <f>IF(ISERROR(VLOOKUP($A999,'Plano de Contas'!#REF!,7)),"",VLOOKUP($A999,'Plano de Contas'!#REF!,7))</f>
        <v/>
      </c>
    </row>
    <row r="1000" spans="12:14" x14ac:dyDescent="0.25">
      <c r="L1000" s="1">
        <f t="shared" si="15"/>
        <v>0</v>
      </c>
      <c r="N1000" s="6" t="str">
        <f>IF(ISERROR(VLOOKUP($A1000,'Plano de Contas'!#REF!,7)),"",VLOOKUP($A1000,'Plano de Contas'!#REF!,7))</f>
        <v/>
      </c>
    </row>
    <row r="1001" spans="12:14" x14ac:dyDescent="0.25">
      <c r="L1001" s="1">
        <f t="shared" si="15"/>
        <v>0</v>
      </c>
      <c r="N1001" s="6" t="str">
        <f>IF(ISERROR(VLOOKUP($A1001,'Plano de Contas'!#REF!,7)),"",VLOOKUP($A1001,'Plano de Contas'!#REF!,7))</f>
        <v/>
      </c>
    </row>
    <row r="1002" spans="12:14" x14ac:dyDescent="0.25">
      <c r="L1002" s="1">
        <f t="shared" si="15"/>
        <v>0</v>
      </c>
      <c r="N1002" s="6" t="str">
        <f>IF(ISERROR(VLOOKUP($A1002,'Plano de Contas'!#REF!,7)),"",VLOOKUP($A1002,'Plano de Contas'!#REF!,7))</f>
        <v/>
      </c>
    </row>
    <row r="1003" spans="12:14" x14ac:dyDescent="0.25">
      <c r="L1003" s="1">
        <f t="shared" si="15"/>
        <v>0</v>
      </c>
      <c r="N1003" s="6" t="str">
        <f>IF(ISERROR(VLOOKUP($A1003,'Plano de Contas'!#REF!,7)),"",VLOOKUP($A1003,'Plano de Contas'!#REF!,7))</f>
        <v/>
      </c>
    </row>
    <row r="1004" spans="12:14" x14ac:dyDescent="0.25">
      <c r="L1004" s="1">
        <f t="shared" si="15"/>
        <v>0</v>
      </c>
      <c r="N1004" s="6" t="str">
        <f>IF(ISERROR(VLOOKUP($A1004,'Plano de Contas'!#REF!,7)),"",VLOOKUP($A1004,'Plano de Contas'!#REF!,7))</f>
        <v/>
      </c>
    </row>
  </sheetData>
  <autoFilter ref="B4:P750" xr:uid="{00000000-0009-0000-0000-000001000000}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R130"/>
  <sheetViews>
    <sheetView showGridLines="0" view="pageBreakPreview" zoomScale="110" zoomScaleNormal="100" zoomScaleSheetLayoutView="110" workbookViewId="0">
      <selection activeCell="H141" sqref="H141"/>
    </sheetView>
  </sheetViews>
  <sheetFormatPr defaultRowHeight="15" x14ac:dyDescent="0.25"/>
  <cols>
    <col min="1" max="1" width="0.85546875" customWidth="1"/>
    <col min="2" max="2" width="31.140625" customWidth="1"/>
    <col min="3" max="3" width="16" customWidth="1"/>
    <col min="4" max="4" width="18.5703125" style="2" bestFit="1" customWidth="1"/>
    <col min="5" max="5" width="0.5703125" style="2" customWidth="1"/>
    <col min="6" max="6" width="15.7109375" style="2" bestFit="1" customWidth="1"/>
    <col min="7" max="7" width="0.5703125" style="1" customWidth="1"/>
    <col min="8" max="8" width="18.5703125" style="1" bestFit="1" customWidth="1"/>
    <col min="9" max="9" width="0.5703125" style="1" customWidth="1"/>
    <col min="10" max="10" width="16.85546875" style="3" bestFit="1" customWidth="1"/>
    <col min="11" max="11" width="0.5703125" style="3" customWidth="1"/>
    <col min="12" max="12" width="15.7109375" style="3" hidden="1" customWidth="1"/>
    <col min="13" max="13" width="0.5703125" style="3" hidden="1" customWidth="1"/>
    <col min="14" max="14" width="18.5703125" style="3" bestFit="1" customWidth="1"/>
    <col min="15" max="15" width="0.85546875" style="1" customWidth="1"/>
    <col min="16" max="16" width="12.28515625" hidden="1" customWidth="1"/>
    <col min="17" max="17" width="0" hidden="1" customWidth="1"/>
    <col min="18" max="18" width="10.5703125" hidden="1" customWidth="1"/>
  </cols>
  <sheetData>
    <row r="2" spans="1:16" x14ac:dyDescent="0.25">
      <c r="A2" s="295" t="str">
        <f>DRE!A1:J1</f>
        <v>SUAPE COMPLEXO INDUSTRIAL PORTUÁRIO GOV. ERALDO GUEIROS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</row>
    <row r="3" spans="1:16" x14ac:dyDescent="0.25">
      <c r="A3" s="295" t="str">
        <f>DRE!A2:J2</f>
        <v>CNPJ Nº 11.448.933/0001-62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</row>
    <row r="4" spans="1:16" x14ac:dyDescent="0.25">
      <c r="A4" s="58"/>
      <c r="B4" s="58"/>
      <c r="C4" s="58"/>
      <c r="D4" s="57"/>
      <c r="E4" s="57"/>
      <c r="F4" s="57"/>
      <c r="G4" s="59"/>
      <c r="H4" s="59"/>
      <c r="I4" s="59"/>
      <c r="J4" s="59"/>
      <c r="K4" s="59"/>
      <c r="L4" s="59"/>
      <c r="M4" s="59"/>
      <c r="N4" s="59"/>
      <c r="O4" s="59"/>
    </row>
    <row r="5" spans="1:16" x14ac:dyDescent="0.25">
      <c r="A5" s="295" t="s">
        <v>1340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</row>
    <row r="6" spans="1:16" x14ac:dyDescent="0.25">
      <c r="A6" s="295" t="str">
        <f>DRE!A5:J5</f>
        <v>DO PERÍODO FINDO EM 30 DE SETEMBRO DE 2019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</row>
    <row r="7" spans="1:16" x14ac:dyDescent="0.25">
      <c r="A7" s="296" t="str">
        <f>_em</f>
        <v>(em reais)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</row>
    <row r="8" spans="1:16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6" ht="26.25" x14ac:dyDescent="0.25">
      <c r="A9" s="8"/>
      <c r="B9" s="19"/>
      <c r="C9" s="19"/>
      <c r="D9" s="38" t="s">
        <v>1341</v>
      </c>
      <c r="E9" s="17"/>
      <c r="F9" s="38" t="s">
        <v>1342</v>
      </c>
      <c r="G9" s="18"/>
      <c r="H9" s="38" t="s">
        <v>1343</v>
      </c>
      <c r="I9" s="18"/>
      <c r="J9" s="38" t="s">
        <v>2444</v>
      </c>
      <c r="K9" s="18"/>
      <c r="L9" s="39" t="s">
        <v>1344</v>
      </c>
      <c r="M9" s="18"/>
      <c r="N9" s="40" t="s">
        <v>1345</v>
      </c>
      <c r="O9" s="18"/>
      <c r="P9" s="19"/>
    </row>
    <row r="10" spans="1:16" s="8" customFormat="1" ht="12.75" x14ac:dyDescent="0.2">
      <c r="B10" s="19"/>
      <c r="C10" s="19"/>
      <c r="D10" s="17"/>
      <c r="E10" s="17"/>
      <c r="F10" s="17"/>
      <c r="G10" s="18"/>
      <c r="H10" s="18"/>
      <c r="I10" s="18"/>
      <c r="J10" s="19"/>
      <c r="K10" s="19"/>
      <c r="L10" s="19"/>
      <c r="M10" s="19"/>
      <c r="N10" s="15"/>
      <c r="O10" s="18"/>
      <c r="P10" s="19"/>
    </row>
    <row r="11" spans="1:16" s="4" customFormat="1" ht="12.75" hidden="1" x14ac:dyDescent="0.2">
      <c r="A11" s="8"/>
      <c r="B11" s="15" t="s">
        <v>1346</v>
      </c>
      <c r="C11" s="15"/>
      <c r="D11" s="41">
        <v>585213</v>
      </c>
      <c r="E11" s="41"/>
      <c r="F11" s="41">
        <v>985</v>
      </c>
      <c r="G11" s="41"/>
      <c r="H11" s="41">
        <v>0</v>
      </c>
      <c r="I11" s="41"/>
      <c r="J11" s="41">
        <v>-26870</v>
      </c>
      <c r="K11" s="41"/>
      <c r="L11" s="41">
        <v>160079</v>
      </c>
      <c r="M11" s="42"/>
      <c r="N11" s="41">
        <f>D11+F11+J11+L11</f>
        <v>719407</v>
      </c>
      <c r="O11" s="18"/>
      <c r="P11" s="19"/>
    </row>
    <row r="12" spans="1:16" s="4" customFormat="1" ht="12.75" hidden="1" x14ac:dyDescent="0.2">
      <c r="A12" s="8"/>
      <c r="B12" s="19"/>
      <c r="C12" s="19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1"/>
      <c r="O12" s="18"/>
      <c r="P12" s="19"/>
    </row>
    <row r="13" spans="1:16" s="4" customFormat="1" ht="12.75" hidden="1" x14ac:dyDescent="0.2">
      <c r="A13" s="8"/>
      <c r="B13" s="43" t="s">
        <v>1347</v>
      </c>
      <c r="C13" s="43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1"/>
      <c r="O13" s="18"/>
      <c r="P13" s="19"/>
    </row>
    <row r="14" spans="1:16" s="4" customFormat="1" ht="12.75" hidden="1" x14ac:dyDescent="0.2">
      <c r="A14" s="8"/>
      <c r="B14" s="25" t="s">
        <v>1348</v>
      </c>
      <c r="C14" s="25"/>
      <c r="D14" s="42">
        <v>0</v>
      </c>
      <c r="E14" s="42"/>
      <c r="F14" s="42"/>
      <c r="G14" s="42"/>
      <c r="H14" s="42"/>
      <c r="I14" s="42"/>
      <c r="J14" s="42"/>
      <c r="K14" s="42"/>
      <c r="L14" s="42">
        <v>0</v>
      </c>
      <c r="M14" s="42"/>
      <c r="N14" s="41">
        <f>D14+F14+J14+L14</f>
        <v>0</v>
      </c>
      <c r="O14" s="18"/>
      <c r="P14" s="19"/>
    </row>
    <row r="15" spans="1:16" s="4" customFormat="1" ht="12.75" hidden="1" x14ac:dyDescent="0.2">
      <c r="A15" s="8"/>
      <c r="B15" s="19"/>
      <c r="C15" s="19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1"/>
      <c r="O15" s="18"/>
      <c r="P15" s="19"/>
    </row>
    <row r="16" spans="1:16" s="4" customFormat="1" ht="12.75" hidden="1" x14ac:dyDescent="0.2">
      <c r="A16" s="8"/>
      <c r="B16" s="43" t="s">
        <v>1349</v>
      </c>
      <c r="C16" s="43"/>
      <c r="D16" s="42"/>
      <c r="E16" s="42"/>
      <c r="F16" s="42"/>
      <c r="G16" s="42"/>
      <c r="H16" s="42"/>
      <c r="I16" s="42"/>
      <c r="J16" s="42"/>
      <c r="K16" s="42"/>
      <c r="L16" s="42">
        <v>253898</v>
      </c>
      <c r="M16" s="42"/>
      <c r="N16" s="41">
        <f>D16+F16+J16+L16</f>
        <v>253898</v>
      </c>
      <c r="O16" s="18"/>
      <c r="P16" s="19"/>
    </row>
    <row r="17" spans="1:16" s="4" customFormat="1" ht="12.75" hidden="1" x14ac:dyDescent="0.2">
      <c r="A17" s="8"/>
      <c r="B17" s="21"/>
      <c r="C17" s="21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1"/>
      <c r="O17" s="18"/>
      <c r="P17" s="19"/>
    </row>
    <row r="18" spans="1:16" s="4" customFormat="1" ht="12.75" hidden="1" x14ac:dyDescent="0.2">
      <c r="A18" s="8"/>
      <c r="B18" s="43" t="e">
        <f>IF(J18&lt;0,"- Prejuízo do exercício","- Lucro líquido do exercício")</f>
        <v>#REF!</v>
      </c>
      <c r="C18" s="43"/>
      <c r="D18" s="42"/>
      <c r="E18" s="42"/>
      <c r="F18" s="42"/>
      <c r="G18" s="42"/>
      <c r="H18" s="64"/>
      <c r="I18" s="42"/>
      <c r="J18" s="42" t="e">
        <f>DRE!#REF!</f>
        <v>#REF!</v>
      </c>
      <c r="K18" s="42"/>
      <c r="L18" s="42"/>
      <c r="M18" s="42"/>
      <c r="N18" s="41" t="e">
        <f>D18+F18+J18+L18</f>
        <v>#REF!</v>
      </c>
      <c r="O18" s="18"/>
      <c r="P18" s="19"/>
    </row>
    <row r="19" spans="1:16" s="4" customFormat="1" ht="12.75" hidden="1" x14ac:dyDescent="0.2">
      <c r="A19" s="8"/>
      <c r="B19" s="21"/>
      <c r="C19" s="21"/>
      <c r="D19" s="44"/>
      <c r="E19" s="42"/>
      <c r="F19" s="44"/>
      <c r="G19" s="42"/>
      <c r="H19" s="42"/>
      <c r="I19" s="42"/>
      <c r="J19" s="44"/>
      <c r="K19" s="42"/>
      <c r="L19" s="44"/>
      <c r="M19" s="42"/>
      <c r="N19" s="44"/>
      <c r="O19" s="18"/>
      <c r="P19" s="19"/>
    </row>
    <row r="20" spans="1:16" s="4" customFormat="1" ht="12.75" hidden="1" x14ac:dyDescent="0.2">
      <c r="A20" s="8"/>
      <c r="B20" s="15" t="s">
        <v>1350</v>
      </c>
      <c r="C20" s="15"/>
      <c r="D20" s="41">
        <f>SUM(D11:D19)</f>
        <v>585213</v>
      </c>
      <c r="E20" s="41"/>
      <c r="F20" s="41">
        <f>SUM(F11:F19)</f>
        <v>985</v>
      </c>
      <c r="G20" s="41"/>
      <c r="H20" s="41">
        <f>SUM(H11:H19)</f>
        <v>0</v>
      </c>
      <c r="I20" s="41"/>
      <c r="J20" s="41" t="e">
        <f>SUM(J11:J19)</f>
        <v>#REF!</v>
      </c>
      <c r="K20" s="41"/>
      <c r="L20" s="41">
        <f>SUM(L11:L19)</f>
        <v>413977</v>
      </c>
      <c r="M20" s="42"/>
      <c r="N20" s="41" t="e">
        <f>D20+F20+J20+L20</f>
        <v>#REF!</v>
      </c>
      <c r="O20" s="18"/>
      <c r="P20" s="45" t="e">
        <f>N20-BP!#REF!</f>
        <v>#REF!</v>
      </c>
    </row>
    <row r="21" spans="1:16" hidden="1" x14ac:dyDescent="0.25">
      <c r="A21" s="8"/>
      <c r="B21" s="19"/>
      <c r="C21" s="19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1"/>
      <c r="O21" s="18"/>
      <c r="P21" s="19"/>
    </row>
    <row r="22" spans="1:16" hidden="1" x14ac:dyDescent="0.25">
      <c r="A22" s="8"/>
      <c r="B22" s="43" t="s">
        <v>1347</v>
      </c>
      <c r="C22" s="43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1"/>
      <c r="O22" s="18"/>
      <c r="P22" s="19"/>
    </row>
    <row r="23" spans="1:16" hidden="1" x14ac:dyDescent="0.25">
      <c r="A23" s="8"/>
      <c r="B23" s="25" t="s">
        <v>1348</v>
      </c>
      <c r="C23" s="25"/>
      <c r="D23" s="42">
        <v>413977</v>
      </c>
      <c r="E23" s="42"/>
      <c r="F23" s="42"/>
      <c r="G23" s="42"/>
      <c r="H23" s="42"/>
      <c r="I23" s="42"/>
      <c r="J23" s="42"/>
      <c r="K23" s="42"/>
      <c r="L23" s="42">
        <v>-413977</v>
      </c>
      <c r="M23" s="42"/>
      <c r="N23" s="41">
        <f>D23+F23+J23+L23</f>
        <v>0</v>
      </c>
      <c r="O23" s="18"/>
      <c r="P23" s="19"/>
    </row>
    <row r="24" spans="1:16" hidden="1" x14ac:dyDescent="0.25">
      <c r="A24" s="8"/>
      <c r="B24" s="19"/>
      <c r="C24" s="19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1"/>
      <c r="O24" s="18"/>
      <c r="P24" s="19"/>
    </row>
    <row r="25" spans="1:16" hidden="1" x14ac:dyDescent="0.25">
      <c r="B25" s="43" t="s">
        <v>1349</v>
      </c>
      <c r="C25" s="43"/>
      <c r="D25" s="42"/>
      <c r="E25" s="42"/>
      <c r="F25" s="42"/>
      <c r="G25" s="42"/>
      <c r="H25" s="42"/>
      <c r="I25" s="42"/>
      <c r="J25" s="42"/>
      <c r="K25" s="42"/>
      <c r="L25" s="42">
        <v>265567</v>
      </c>
      <c r="M25" s="42"/>
      <c r="N25" s="41">
        <f>D25+F25+J25+L25</f>
        <v>265567</v>
      </c>
      <c r="O25" s="18"/>
      <c r="P25" s="19"/>
    </row>
    <row r="26" spans="1:16" hidden="1" x14ac:dyDescent="0.25">
      <c r="B26" s="21"/>
      <c r="C26" s="21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1"/>
      <c r="O26" s="18"/>
      <c r="P26" s="19"/>
    </row>
    <row r="27" spans="1:16" hidden="1" x14ac:dyDescent="0.25">
      <c r="B27" s="43" t="e">
        <f>IF(J27&lt;0,"- Prejuízo do exercício","- Lucro líquido do exercício")</f>
        <v>#REF!</v>
      </c>
      <c r="C27" s="43"/>
      <c r="D27" s="42"/>
      <c r="E27" s="42"/>
      <c r="F27" s="42"/>
      <c r="G27" s="42"/>
      <c r="H27" s="64"/>
      <c r="I27" s="42"/>
      <c r="J27" s="42" t="e">
        <f>DRE!#REF!+1</f>
        <v>#REF!</v>
      </c>
      <c r="K27" s="42"/>
      <c r="L27" s="42"/>
      <c r="M27" s="42"/>
      <c r="N27" s="41" t="e">
        <f>D27+F27+J27+L27</f>
        <v>#REF!</v>
      </c>
      <c r="O27" s="18"/>
      <c r="P27" s="19"/>
    </row>
    <row r="28" spans="1:16" hidden="1" x14ac:dyDescent="0.25">
      <c r="B28" s="21"/>
      <c r="C28" s="21"/>
      <c r="D28" s="44"/>
      <c r="E28" s="42"/>
      <c r="F28" s="44"/>
      <c r="G28" s="42"/>
      <c r="H28" s="42"/>
      <c r="I28" s="42"/>
      <c r="J28" s="44"/>
      <c r="K28" s="42"/>
      <c r="L28" s="44"/>
      <c r="M28" s="42"/>
      <c r="N28" s="44"/>
      <c r="O28" s="18"/>
      <c r="P28" s="19"/>
    </row>
    <row r="29" spans="1:16" hidden="1" x14ac:dyDescent="0.25">
      <c r="B29" s="15" t="s">
        <v>1351</v>
      </c>
      <c r="C29" s="15"/>
      <c r="D29" s="41">
        <f>SUM(D20:D27)</f>
        <v>999190</v>
      </c>
      <c r="E29" s="42"/>
      <c r="F29" s="41">
        <f>SUM(F20:F27)</f>
        <v>985</v>
      </c>
      <c r="G29" s="42"/>
      <c r="H29" s="41">
        <f>SUM(H20:H27)</f>
        <v>0</v>
      </c>
      <c r="I29" s="42"/>
      <c r="J29" s="41" t="e">
        <f>SUM(J20:J27)</f>
        <v>#REF!</v>
      </c>
      <c r="K29" s="42"/>
      <c r="L29" s="41">
        <f>SUM(L20:L27)</f>
        <v>265567</v>
      </c>
      <c r="M29" s="42"/>
      <c r="N29" s="41" t="e">
        <f>SUM(D29:L29)</f>
        <v>#REF!</v>
      </c>
      <c r="O29" s="18"/>
      <c r="P29" s="45" t="e">
        <f>N29-BP!#REF!</f>
        <v>#REF!</v>
      </c>
    </row>
    <row r="30" spans="1:16" ht="6" hidden="1" customHeight="1" x14ac:dyDescent="0.25">
      <c r="B30" s="19"/>
      <c r="C30" s="19"/>
      <c r="D30" s="17"/>
      <c r="E30" s="17"/>
      <c r="F30" s="17"/>
      <c r="G30" s="18"/>
      <c r="H30" s="18"/>
      <c r="I30" s="18"/>
      <c r="J30" s="299"/>
      <c r="K30" s="299"/>
      <c r="L30" s="299"/>
      <c r="M30" s="299"/>
      <c r="N30" s="299"/>
      <c r="O30" s="18"/>
      <c r="P30" s="19"/>
    </row>
    <row r="31" spans="1:16" ht="15" hidden="1" customHeight="1" x14ac:dyDescent="0.25">
      <c r="B31" s="43" t="s">
        <v>1352</v>
      </c>
      <c r="C31" s="43"/>
      <c r="D31" s="33"/>
      <c r="E31" s="17"/>
      <c r="F31" s="33">
        <v>22747</v>
      </c>
      <c r="G31" s="18"/>
      <c r="H31" s="117"/>
      <c r="I31" s="18"/>
      <c r="J31" s="64">
        <v>-629</v>
      </c>
      <c r="K31" s="153"/>
      <c r="L31" s="118"/>
      <c r="M31" s="153"/>
      <c r="N31" s="119">
        <f>SUM(D31:L31)</f>
        <v>22118</v>
      </c>
      <c r="O31" s="18"/>
      <c r="P31" s="19"/>
    </row>
    <row r="32" spans="1:16" ht="6" hidden="1" customHeight="1" x14ac:dyDescent="0.25">
      <c r="B32" s="43"/>
      <c r="C32" s="43"/>
      <c r="D32" s="17"/>
      <c r="E32" s="17"/>
      <c r="F32" s="17"/>
      <c r="G32" s="18"/>
      <c r="H32" s="18"/>
      <c r="I32" s="18"/>
      <c r="J32" s="42"/>
      <c r="K32" s="153"/>
      <c r="L32" s="153"/>
      <c r="M32" s="153"/>
      <c r="N32" s="41"/>
      <c r="O32" s="18"/>
      <c r="P32" s="19"/>
    </row>
    <row r="33" spans="1:16" ht="15" hidden="1" customHeight="1" x14ac:dyDescent="0.25">
      <c r="B33" s="15" t="s">
        <v>1353</v>
      </c>
      <c r="C33" s="15"/>
      <c r="D33" s="41">
        <f>SUM(D29:D31)</f>
        <v>999190</v>
      </c>
      <c r="E33" s="42"/>
      <c r="F33" s="41">
        <f>SUM(F29:F31)</f>
        <v>23732</v>
      </c>
      <c r="G33" s="42"/>
      <c r="H33" s="41">
        <f>SUM(H29:H31)</f>
        <v>0</v>
      </c>
      <c r="I33" s="42"/>
      <c r="J33" s="41" t="e">
        <f>SUM(J29:J31)</f>
        <v>#REF!</v>
      </c>
      <c r="K33" s="42"/>
      <c r="L33" s="41">
        <f>SUM(L29:L31)</f>
        <v>265567</v>
      </c>
      <c r="M33" s="42"/>
      <c r="N33" s="41" t="e">
        <f>SUM(N29:N31)</f>
        <v>#REF!</v>
      </c>
      <c r="O33" s="18"/>
      <c r="P33" s="19"/>
    </row>
    <row r="34" spans="1:16" ht="6" hidden="1" customHeight="1" x14ac:dyDescent="0.25">
      <c r="B34" s="19"/>
      <c r="C34" s="19"/>
      <c r="D34" s="17"/>
      <c r="E34" s="17"/>
      <c r="F34" s="17"/>
      <c r="G34" s="18"/>
      <c r="H34" s="18"/>
      <c r="I34" s="18"/>
      <c r="J34" s="153"/>
      <c r="K34" s="153"/>
      <c r="L34" s="153"/>
      <c r="M34" s="153"/>
      <c r="N34" s="153"/>
      <c r="O34" s="18"/>
      <c r="P34" s="19"/>
    </row>
    <row r="35" spans="1:16" hidden="1" x14ac:dyDescent="0.25">
      <c r="A35" s="8"/>
      <c r="B35" s="43" t="s">
        <v>1354</v>
      </c>
      <c r="C35" s="43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1"/>
      <c r="O35" s="18"/>
      <c r="P35" s="19"/>
    </row>
    <row r="36" spans="1:16" hidden="1" x14ac:dyDescent="0.25">
      <c r="A36" s="8"/>
      <c r="B36" s="25" t="s">
        <v>1355</v>
      </c>
      <c r="C36" s="25"/>
      <c r="D36" s="42">
        <f>265567</f>
        <v>265567</v>
      </c>
      <c r="E36" s="42"/>
      <c r="F36" s="42"/>
      <c r="G36" s="42"/>
      <c r="H36" s="42"/>
      <c r="I36" s="42"/>
      <c r="J36" s="42"/>
      <c r="K36" s="42"/>
      <c r="L36" s="42">
        <f>-D36</f>
        <v>-265567</v>
      </c>
      <c r="M36" s="42"/>
      <c r="N36" s="41">
        <f>D36+F36+J36+L36+H36</f>
        <v>0</v>
      </c>
      <c r="O36" s="18"/>
      <c r="P36" s="19"/>
    </row>
    <row r="37" spans="1:16" ht="6" hidden="1" customHeight="1" x14ac:dyDescent="0.25">
      <c r="A37" s="8"/>
      <c r="B37" s="19"/>
      <c r="C37" s="19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1"/>
      <c r="O37" s="18"/>
      <c r="P37" s="19"/>
    </row>
    <row r="38" spans="1:16" hidden="1" x14ac:dyDescent="0.25">
      <c r="A38" s="8"/>
      <c r="B38" s="43" t="s">
        <v>1356</v>
      </c>
      <c r="C38" s="43"/>
      <c r="D38" s="42"/>
      <c r="E38" s="42"/>
      <c r="F38" s="42">
        <v>511</v>
      </c>
      <c r="G38" s="42"/>
      <c r="H38" s="42"/>
      <c r="I38" s="42"/>
      <c r="J38" s="42"/>
      <c r="K38" s="42"/>
      <c r="L38" s="42"/>
      <c r="M38" s="42"/>
      <c r="N38" s="41">
        <f>D38+F38+J38+L38+H38</f>
        <v>511</v>
      </c>
      <c r="O38" s="18"/>
      <c r="P38" s="19"/>
    </row>
    <row r="39" spans="1:16" ht="6" hidden="1" customHeight="1" x14ac:dyDescent="0.25">
      <c r="A39" s="8"/>
      <c r="B39" s="19"/>
      <c r="C39" s="19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1"/>
      <c r="O39" s="18"/>
      <c r="P39" s="19"/>
    </row>
    <row r="40" spans="1:16" hidden="1" x14ac:dyDescent="0.25">
      <c r="A40" s="8"/>
      <c r="B40" s="43" t="s">
        <v>1357</v>
      </c>
      <c r="C40" s="43"/>
      <c r="D40" s="42"/>
      <c r="E40" s="42"/>
      <c r="F40" s="42"/>
      <c r="G40" s="42"/>
      <c r="H40" s="42">
        <v>2172811</v>
      </c>
      <c r="I40" s="42"/>
      <c r="J40" s="42"/>
      <c r="K40" s="42"/>
      <c r="L40" s="42"/>
      <c r="M40" s="42"/>
      <c r="N40" s="41">
        <f>D40+F40+J40+L40+H40</f>
        <v>2172811</v>
      </c>
      <c r="O40" s="18"/>
      <c r="P40" s="19"/>
    </row>
    <row r="41" spans="1:16" ht="6" hidden="1" customHeight="1" x14ac:dyDescent="0.25">
      <c r="A41" s="8"/>
      <c r="B41" s="19"/>
      <c r="C41" s="19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1"/>
      <c r="O41" s="18"/>
      <c r="P41" s="19"/>
    </row>
    <row r="42" spans="1:16" hidden="1" x14ac:dyDescent="0.25">
      <c r="A42" s="8"/>
      <c r="B42" s="43" t="s">
        <v>1358</v>
      </c>
      <c r="C42" s="43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1"/>
      <c r="O42" s="18"/>
      <c r="P42" s="19"/>
    </row>
    <row r="43" spans="1:16" hidden="1" x14ac:dyDescent="0.25">
      <c r="A43" s="8"/>
      <c r="B43" s="25" t="s">
        <v>1359</v>
      </c>
      <c r="C43" s="25"/>
      <c r="D43" s="42"/>
      <c r="E43" s="42"/>
      <c r="F43" s="42"/>
      <c r="G43" s="42"/>
      <c r="H43" s="42">
        <v>-738756</v>
      </c>
      <c r="I43" s="42"/>
      <c r="J43" s="42"/>
      <c r="K43" s="42"/>
      <c r="L43" s="42"/>
      <c r="M43" s="42"/>
      <c r="N43" s="41">
        <f>D43+F43+J43+L43+H43</f>
        <v>-738756</v>
      </c>
      <c r="O43" s="18"/>
      <c r="P43" s="19"/>
    </row>
    <row r="44" spans="1:16" ht="6" hidden="1" customHeight="1" x14ac:dyDescent="0.25">
      <c r="A44" s="8"/>
      <c r="B44" s="19"/>
      <c r="C44" s="19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1"/>
      <c r="O44" s="18"/>
      <c r="P44" s="19"/>
    </row>
    <row r="45" spans="1:16" hidden="1" x14ac:dyDescent="0.25">
      <c r="B45" s="43" t="s">
        <v>1360</v>
      </c>
      <c r="C45" s="43"/>
      <c r="D45" s="42"/>
      <c r="E45" s="42"/>
      <c r="F45" s="42"/>
      <c r="G45" s="42"/>
      <c r="H45" s="42"/>
      <c r="I45" s="42"/>
      <c r="J45" s="42"/>
      <c r="K45" s="42"/>
      <c r="L45" s="42">
        <v>153152</v>
      </c>
      <c r="M45" s="42"/>
      <c r="N45" s="41">
        <f>D45+F45+J45+L45+H45</f>
        <v>153152</v>
      </c>
      <c r="O45" s="18"/>
      <c r="P45" s="19"/>
    </row>
    <row r="46" spans="1:16" ht="20.25" hidden="1" customHeight="1" x14ac:dyDescent="0.25">
      <c r="B46" s="21"/>
      <c r="C46" s="21"/>
      <c r="D46" s="42"/>
      <c r="E46" s="42"/>
      <c r="F46" s="42"/>
      <c r="G46" s="42"/>
      <c r="H46" s="163">
        <v>1</v>
      </c>
      <c r="I46" s="42"/>
      <c r="J46" s="163">
        <v>-1</v>
      </c>
      <c r="K46" s="42"/>
      <c r="L46" s="42"/>
      <c r="M46" s="42"/>
      <c r="N46" s="41"/>
      <c r="O46" s="18"/>
      <c r="P46" s="19"/>
    </row>
    <row r="47" spans="1:16" hidden="1" x14ac:dyDescent="0.25">
      <c r="B47" s="43" t="s">
        <v>1361</v>
      </c>
      <c r="C47" s="43"/>
      <c r="D47" s="42"/>
      <c r="E47" s="42"/>
      <c r="F47" s="42"/>
      <c r="G47" s="42"/>
      <c r="H47" s="64"/>
      <c r="I47" s="42"/>
      <c r="J47" s="42" t="e">
        <f>DRA!S20</f>
        <v>#REF!</v>
      </c>
      <c r="K47" s="42"/>
      <c r="L47" s="42"/>
      <c r="M47" s="42"/>
      <c r="N47" s="41" t="e">
        <f>D47+F47+J47+L47</f>
        <v>#REF!</v>
      </c>
      <c r="O47" s="18"/>
      <c r="P47" s="19"/>
    </row>
    <row r="48" spans="1:16" ht="6" hidden="1" customHeight="1" x14ac:dyDescent="0.25">
      <c r="B48" s="21"/>
      <c r="C48" s="21"/>
      <c r="D48" s="44"/>
      <c r="E48" s="42"/>
      <c r="F48" s="44"/>
      <c r="G48" s="42"/>
      <c r="H48" s="42"/>
      <c r="I48" s="42"/>
      <c r="J48" s="44"/>
      <c r="K48" s="42"/>
      <c r="L48" s="44"/>
      <c r="M48" s="42"/>
      <c r="N48" s="44"/>
      <c r="O48" s="18"/>
      <c r="P48" s="19"/>
    </row>
    <row r="49" spans="2:16" hidden="1" x14ac:dyDescent="0.25">
      <c r="B49" s="15" t="s">
        <v>2367</v>
      </c>
      <c r="C49" s="15"/>
      <c r="D49" s="41">
        <f>SUM(D33:D47)</f>
        <v>1264757</v>
      </c>
      <c r="E49" s="42"/>
      <c r="F49" s="41">
        <f>SUM(F33:F47)</f>
        <v>24243</v>
      </c>
      <c r="G49" s="42"/>
      <c r="H49" s="41">
        <f>SUM(H33:H47)</f>
        <v>1434056</v>
      </c>
      <c r="I49" s="42"/>
      <c r="J49" s="41" t="e">
        <f>SUM(J33:J47)</f>
        <v>#REF!</v>
      </c>
      <c r="K49" s="42"/>
      <c r="L49" s="41">
        <f>SUM(L33:L47)</f>
        <v>153152</v>
      </c>
      <c r="M49" s="42"/>
      <c r="N49" s="41" t="e">
        <f>SUM(N33:N47)</f>
        <v>#REF!</v>
      </c>
      <c r="O49" s="18"/>
      <c r="P49" s="45" t="e">
        <f>N49-BP!#REF!</f>
        <v>#REF!</v>
      </c>
    </row>
    <row r="50" spans="2:16" ht="3.95" hidden="1" customHeight="1" x14ac:dyDescent="0.25">
      <c r="B50" s="19"/>
      <c r="C50" s="19"/>
      <c r="D50" s="17"/>
      <c r="E50" s="17"/>
      <c r="F50" s="17"/>
      <c r="G50" s="18"/>
      <c r="H50" s="18"/>
      <c r="I50" s="18"/>
      <c r="J50" s="299"/>
      <c r="K50" s="299"/>
      <c r="L50" s="299"/>
      <c r="M50" s="299"/>
      <c r="N50" s="299"/>
      <c r="O50" s="18"/>
      <c r="P50" s="19"/>
    </row>
    <row r="51" spans="2:16" hidden="1" x14ac:dyDescent="0.25">
      <c r="B51" s="43" t="s">
        <v>1354</v>
      </c>
      <c r="C51" s="43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1"/>
      <c r="O51" s="18"/>
      <c r="P51" s="19"/>
    </row>
    <row r="52" spans="2:16" hidden="1" x14ac:dyDescent="0.25">
      <c r="B52" s="25" t="s">
        <v>1355</v>
      </c>
      <c r="C52" s="25"/>
      <c r="D52" s="42">
        <v>153152</v>
      </c>
      <c r="E52" s="42"/>
      <c r="F52" s="42"/>
      <c r="G52" s="42"/>
      <c r="H52" s="42"/>
      <c r="I52" s="42"/>
      <c r="J52" s="42"/>
      <c r="K52" s="42"/>
      <c r="L52" s="42">
        <f>-D52</f>
        <v>-153152</v>
      </c>
      <c r="M52" s="42"/>
      <c r="N52" s="41">
        <f>D52+F52+J52+L52+H52</f>
        <v>0</v>
      </c>
      <c r="O52" s="18"/>
      <c r="P52" s="19"/>
    </row>
    <row r="53" spans="2:16" hidden="1" x14ac:dyDescent="0.25">
      <c r="B53" s="25" t="s">
        <v>1362</v>
      </c>
      <c r="C53" s="25"/>
      <c r="D53" s="42">
        <v>8513</v>
      </c>
      <c r="E53" s="42"/>
      <c r="F53" s="42"/>
      <c r="G53" s="42"/>
      <c r="H53" s="42"/>
      <c r="I53" s="42"/>
      <c r="J53" s="42"/>
      <c r="K53" s="42"/>
      <c r="L53" s="42"/>
      <c r="M53" s="42"/>
      <c r="N53" s="41">
        <f>D53+F53+J53+L53+H53</f>
        <v>8513</v>
      </c>
      <c r="O53" s="18"/>
      <c r="P53" s="19"/>
    </row>
    <row r="54" spans="2:16" ht="3.95" hidden="1" customHeight="1" x14ac:dyDescent="0.25">
      <c r="B54" s="19"/>
      <c r="C54" s="19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1"/>
      <c r="O54" s="18"/>
      <c r="P54" s="19"/>
    </row>
    <row r="55" spans="2:16" hidden="1" x14ac:dyDescent="0.25">
      <c r="B55" s="43" t="s">
        <v>1356</v>
      </c>
      <c r="C55" s="43"/>
      <c r="D55" s="42"/>
      <c r="E55" s="42"/>
      <c r="F55" s="42">
        <v>457</v>
      </c>
      <c r="G55" s="42"/>
      <c r="H55" s="42"/>
      <c r="I55" s="42"/>
      <c r="J55" s="42"/>
      <c r="K55" s="42"/>
      <c r="L55" s="42"/>
      <c r="M55" s="42"/>
      <c r="N55" s="41">
        <f>D55+F55+J55+L55+H55</f>
        <v>457</v>
      </c>
      <c r="O55" s="18"/>
      <c r="P55" s="19"/>
    </row>
    <row r="56" spans="2:16" ht="3.95" hidden="1" customHeight="1" x14ac:dyDescent="0.25">
      <c r="B56" s="19"/>
      <c r="C56" s="19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1"/>
      <c r="O56" s="18"/>
      <c r="P56" s="19"/>
    </row>
    <row r="57" spans="2:16" hidden="1" x14ac:dyDescent="0.25">
      <c r="B57" s="43" t="s">
        <v>1363</v>
      </c>
      <c r="C57" s="43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1"/>
      <c r="O57" s="18"/>
      <c r="P57" s="19"/>
    </row>
    <row r="58" spans="2:16" hidden="1" x14ac:dyDescent="0.25">
      <c r="B58" s="25" t="s">
        <v>1364</v>
      </c>
      <c r="C58" s="25"/>
      <c r="D58" s="42"/>
      <c r="E58" s="42"/>
      <c r="F58" s="42"/>
      <c r="G58" s="42"/>
      <c r="H58" s="42">
        <v>-9566</v>
      </c>
      <c r="I58" s="42"/>
      <c r="J58" s="42"/>
      <c r="K58" s="42"/>
      <c r="L58" s="42"/>
      <c r="M58" s="42"/>
      <c r="N58" s="41">
        <f>D58+F58+J58+L58+H58</f>
        <v>-9566</v>
      </c>
      <c r="O58" s="18"/>
      <c r="P58" s="19"/>
    </row>
    <row r="59" spans="2:16" hidden="1" x14ac:dyDescent="0.25">
      <c r="B59" s="25" t="s">
        <v>1365</v>
      </c>
      <c r="C59" s="25"/>
      <c r="D59" s="42"/>
      <c r="E59" s="42"/>
      <c r="F59" s="42"/>
      <c r="G59" s="42"/>
      <c r="H59" s="42">
        <v>3252</v>
      </c>
      <c r="I59" s="42"/>
      <c r="J59" s="42"/>
      <c r="K59" s="42"/>
      <c r="L59" s="42"/>
      <c r="M59" s="42"/>
      <c r="N59" s="41">
        <f>D59+F59+J59+L59+H59</f>
        <v>3252</v>
      </c>
      <c r="O59" s="18"/>
      <c r="P59" s="19"/>
    </row>
    <row r="60" spans="2:16" ht="3.95" hidden="1" customHeight="1" x14ac:dyDescent="0.25">
      <c r="B60" s="25"/>
      <c r="C60" s="25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1"/>
      <c r="O60" s="18"/>
      <c r="P60" s="19"/>
    </row>
    <row r="61" spans="2:16" hidden="1" x14ac:dyDescent="0.25">
      <c r="B61" s="43" t="s">
        <v>1360</v>
      </c>
      <c r="C61" s="43"/>
      <c r="D61" s="42"/>
      <c r="E61" s="42"/>
      <c r="F61" s="42"/>
      <c r="G61" s="42"/>
      <c r="H61" s="42"/>
      <c r="I61" s="42"/>
      <c r="J61" s="42"/>
      <c r="K61" s="42"/>
      <c r="L61" s="42">
        <v>40891</v>
      </c>
      <c r="M61" s="42"/>
      <c r="N61" s="41">
        <f>D61+F61+J61+L61+H61</f>
        <v>40891</v>
      </c>
      <c r="O61" s="18"/>
      <c r="P61" s="19"/>
    </row>
    <row r="62" spans="2:16" ht="3.95" hidden="1" customHeight="1" x14ac:dyDescent="0.25">
      <c r="B62" s="21"/>
      <c r="C62" s="21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1"/>
      <c r="O62" s="18"/>
      <c r="P62" s="19"/>
    </row>
    <row r="63" spans="2:16" hidden="1" x14ac:dyDescent="0.25">
      <c r="B63" s="43" t="s">
        <v>1361</v>
      </c>
      <c r="C63" s="43"/>
      <c r="D63" s="42"/>
      <c r="E63" s="42"/>
      <c r="F63" s="42"/>
      <c r="G63" s="42"/>
      <c r="H63" s="64"/>
      <c r="I63" s="42"/>
      <c r="J63" s="42" t="e">
        <f>DRA!Q20</f>
        <v>#REF!</v>
      </c>
      <c r="K63" s="42"/>
      <c r="L63" s="42"/>
      <c r="M63" s="42"/>
      <c r="N63" s="41" t="e">
        <f>D63+F63+J63+L63</f>
        <v>#REF!</v>
      </c>
      <c r="O63" s="18"/>
      <c r="P63" s="19"/>
    </row>
    <row r="64" spans="2:16" ht="3.95" hidden="1" customHeight="1" x14ac:dyDescent="0.25">
      <c r="B64" s="21"/>
      <c r="C64" s="21"/>
      <c r="D64" s="44"/>
      <c r="E64" s="42"/>
      <c r="F64" s="44"/>
      <c r="G64" s="42"/>
      <c r="H64" s="42"/>
      <c r="I64" s="42"/>
      <c r="J64" s="44"/>
      <c r="K64" s="42"/>
      <c r="L64" s="44"/>
      <c r="M64" s="42"/>
      <c r="N64" s="44"/>
      <c r="O64" s="18"/>
      <c r="P64" s="19"/>
    </row>
    <row r="65" spans="2:16" hidden="1" x14ac:dyDescent="0.25">
      <c r="B65" s="15" t="s">
        <v>1366</v>
      </c>
      <c r="C65" s="15"/>
      <c r="D65" s="41">
        <f>SUM(D49:D63)</f>
        <v>1426422</v>
      </c>
      <c r="E65" s="42"/>
      <c r="F65" s="41">
        <f>SUM(F49:F63)</f>
        <v>24700</v>
      </c>
      <c r="G65" s="42"/>
      <c r="H65" s="41">
        <f>SUM(H49:H63)</f>
        <v>1427742</v>
      </c>
      <c r="I65" s="42"/>
      <c r="J65" s="41" t="e">
        <f>SUM(J49:J63)</f>
        <v>#REF!</v>
      </c>
      <c r="K65" s="42"/>
      <c r="L65" s="41">
        <f>SUM(L49:L63)</f>
        <v>40891</v>
      </c>
      <c r="M65" s="42"/>
      <c r="N65" s="41" t="e">
        <f>SUM(N49:N63)</f>
        <v>#REF!</v>
      </c>
      <c r="O65" s="18"/>
      <c r="P65" s="45" t="e">
        <f>N65-BP!#REF!</f>
        <v>#REF!</v>
      </c>
    </row>
    <row r="66" spans="2:16" hidden="1" x14ac:dyDescent="0.25">
      <c r="B66" s="15"/>
      <c r="C66" s="15"/>
      <c r="D66" s="41"/>
      <c r="E66" s="42"/>
      <c r="F66" s="41"/>
      <c r="G66" s="42"/>
      <c r="H66" s="41"/>
      <c r="I66" s="42"/>
      <c r="J66" s="41"/>
      <c r="K66" s="42"/>
      <c r="L66" s="41"/>
      <c r="M66" s="42"/>
      <c r="N66" s="41"/>
      <c r="O66" s="18"/>
      <c r="P66" s="45"/>
    </row>
    <row r="67" spans="2:16" hidden="1" x14ac:dyDescent="0.25">
      <c r="B67" s="43" t="s">
        <v>1354</v>
      </c>
      <c r="C67" s="43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1"/>
      <c r="O67" s="18"/>
      <c r="P67" s="19"/>
    </row>
    <row r="68" spans="2:16" hidden="1" x14ac:dyDescent="0.25">
      <c r="B68" s="25" t="s">
        <v>2366</v>
      </c>
      <c r="C68" s="25"/>
      <c r="D68" s="42">
        <v>84500</v>
      </c>
      <c r="E68" s="42"/>
      <c r="F68" s="42"/>
      <c r="G68" s="42"/>
      <c r="H68" s="42"/>
      <c r="I68" s="42"/>
      <c r="J68" s="42"/>
      <c r="K68" s="42"/>
      <c r="L68" s="42"/>
      <c r="M68" s="42"/>
      <c r="N68" s="41">
        <f>D68+F68+J68+L68+H68</f>
        <v>84500</v>
      </c>
      <c r="O68" s="18"/>
      <c r="P68" s="19"/>
    </row>
    <row r="69" spans="2:16" ht="3.95" hidden="1" customHeight="1" x14ac:dyDescent="0.25">
      <c r="B69" s="19"/>
      <c r="C69" s="19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1"/>
      <c r="O69" s="18"/>
      <c r="P69" s="19"/>
    </row>
    <row r="70" spans="2:16" hidden="1" x14ac:dyDescent="0.25">
      <c r="B70" s="43" t="s">
        <v>1356</v>
      </c>
      <c r="C70" s="43"/>
      <c r="D70" s="42"/>
      <c r="E70" s="42"/>
      <c r="F70" s="42">
        <v>476</v>
      </c>
      <c r="G70" s="42"/>
      <c r="H70" s="42"/>
      <c r="I70" s="42"/>
      <c r="J70" s="42"/>
      <c r="K70" s="42"/>
      <c r="L70" s="42"/>
      <c r="M70" s="42"/>
      <c r="N70" s="41">
        <f>D70+F70+J70+L70+H70</f>
        <v>476</v>
      </c>
      <c r="O70" s="18"/>
      <c r="P70" s="19"/>
    </row>
    <row r="71" spans="2:16" ht="3.95" hidden="1" customHeight="1" x14ac:dyDescent="0.25">
      <c r="B71" s="19"/>
      <c r="C71" s="19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1"/>
      <c r="O71" s="18"/>
      <c r="P71" s="19"/>
    </row>
    <row r="72" spans="2:16" hidden="1" x14ac:dyDescent="0.25">
      <c r="B72" s="43" t="s">
        <v>1363</v>
      </c>
      <c r="C72" s="43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1"/>
      <c r="O72" s="18"/>
      <c r="P72" s="19"/>
    </row>
    <row r="73" spans="2:16" hidden="1" x14ac:dyDescent="0.25">
      <c r="B73" s="25" t="s">
        <v>1364</v>
      </c>
      <c r="C73" s="25"/>
      <c r="D73" s="42"/>
      <c r="E73" s="42"/>
      <c r="F73" s="42"/>
      <c r="G73" s="42"/>
      <c r="H73" s="42">
        <v>-9566</v>
      </c>
      <c r="I73" s="42"/>
      <c r="J73" s="42"/>
      <c r="K73" s="42"/>
      <c r="L73" s="42"/>
      <c r="M73" s="42"/>
      <c r="N73" s="41">
        <f>D73+F73+J73+L73+H73</f>
        <v>-9566</v>
      </c>
      <c r="O73" s="18"/>
      <c r="P73" s="19"/>
    </row>
    <row r="74" spans="2:16" hidden="1" x14ac:dyDescent="0.25">
      <c r="B74" s="25" t="s">
        <v>1365</v>
      </c>
      <c r="C74" s="25"/>
      <c r="D74" s="42"/>
      <c r="E74" s="42"/>
      <c r="F74" s="42"/>
      <c r="G74" s="42"/>
      <c r="H74" s="42">
        <v>3253</v>
      </c>
      <c r="I74" s="42"/>
      <c r="J74" s="42"/>
      <c r="K74" s="42"/>
      <c r="L74" s="42"/>
      <c r="M74" s="42"/>
      <c r="N74" s="41">
        <f>D74+F74+J74+L74+H74</f>
        <v>3253</v>
      </c>
      <c r="O74" s="18"/>
      <c r="P74" s="19"/>
    </row>
    <row r="75" spans="2:16" ht="3.95" hidden="1" customHeight="1" x14ac:dyDescent="0.25">
      <c r="B75" s="25"/>
      <c r="C75" s="25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1"/>
      <c r="O75" s="18"/>
      <c r="P75" s="19"/>
    </row>
    <row r="76" spans="2:16" hidden="1" x14ac:dyDescent="0.25">
      <c r="B76" s="43" t="s">
        <v>1360</v>
      </c>
      <c r="C76" s="43"/>
      <c r="D76" s="42"/>
      <c r="E76" s="42"/>
      <c r="F76" s="42"/>
      <c r="G76" s="42"/>
      <c r="H76" s="42"/>
      <c r="I76" s="42"/>
      <c r="J76" s="42"/>
      <c r="K76" s="42"/>
      <c r="L76" s="42">
        <v>11385</v>
      </c>
      <c r="M76" s="42"/>
      <c r="N76" s="41">
        <f>D76+F76+J76+L76+H76</f>
        <v>11385</v>
      </c>
      <c r="O76" s="18"/>
      <c r="P76" s="19"/>
    </row>
    <row r="77" spans="2:16" ht="3.95" hidden="1" customHeight="1" x14ac:dyDescent="0.25">
      <c r="B77" s="21"/>
      <c r="C77" s="21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1"/>
      <c r="O77" s="18"/>
      <c r="P77" s="19"/>
    </row>
    <row r="78" spans="2:16" hidden="1" x14ac:dyDescent="0.25">
      <c r="B78" s="43" t="s">
        <v>1361</v>
      </c>
      <c r="C78" s="43"/>
      <c r="D78" s="42"/>
      <c r="E78" s="42"/>
      <c r="F78" s="42"/>
      <c r="G78" s="42"/>
      <c r="I78" s="42"/>
      <c r="J78" s="42"/>
      <c r="K78" s="42"/>
      <c r="L78" s="42"/>
      <c r="M78" s="42"/>
      <c r="N78" s="41"/>
      <c r="O78" s="18"/>
      <c r="P78" s="19"/>
    </row>
    <row r="79" spans="2:16" hidden="1" x14ac:dyDescent="0.25">
      <c r="B79" s="25" t="s">
        <v>2375</v>
      </c>
      <c r="C79" s="43"/>
      <c r="D79" s="42"/>
      <c r="E79" s="42"/>
      <c r="F79" s="42"/>
      <c r="G79" s="42"/>
      <c r="H79" s="42"/>
      <c r="I79" s="42"/>
      <c r="J79" s="42" t="e">
        <f>DRA!O12</f>
        <v>#REF!</v>
      </c>
      <c r="K79" s="42"/>
      <c r="L79" s="42"/>
      <c r="M79" s="42"/>
      <c r="N79" s="41" t="e">
        <f>D79+F79+J79+L79</f>
        <v>#REF!</v>
      </c>
      <c r="O79" s="18"/>
      <c r="P79" s="19"/>
    </row>
    <row r="80" spans="2:16" hidden="1" x14ac:dyDescent="0.25">
      <c r="B80" s="25" t="s">
        <v>2376</v>
      </c>
      <c r="C80" s="43"/>
      <c r="D80" s="42"/>
      <c r="E80" s="42"/>
      <c r="F80" s="42"/>
      <c r="G80" s="42"/>
      <c r="H80" s="64"/>
      <c r="I80" s="42"/>
      <c r="J80" s="42">
        <f>DRA!O18</f>
        <v>5837</v>
      </c>
      <c r="K80" s="42"/>
      <c r="L80" s="42"/>
      <c r="M80" s="42"/>
      <c r="N80" s="41">
        <f>D80+F80+J80+L80</f>
        <v>5837</v>
      </c>
      <c r="O80" s="18"/>
      <c r="P80" s="19"/>
    </row>
    <row r="81" spans="2:16" ht="3.95" hidden="1" customHeight="1" x14ac:dyDescent="0.25">
      <c r="B81" s="21"/>
      <c r="C81" s="21"/>
      <c r="D81" s="44"/>
      <c r="E81" s="42"/>
      <c r="F81" s="44"/>
      <c r="G81" s="42"/>
      <c r="H81" s="42"/>
      <c r="I81" s="42"/>
      <c r="J81" s="44"/>
      <c r="K81" s="42"/>
      <c r="L81" s="44"/>
      <c r="M81" s="42"/>
      <c r="N81" s="44"/>
      <c r="O81" s="18"/>
      <c r="P81" s="19"/>
    </row>
    <row r="82" spans="2:16" hidden="1" x14ac:dyDescent="0.25">
      <c r="B82" s="15" t="s">
        <v>1486</v>
      </c>
      <c r="C82" s="15"/>
      <c r="D82" s="255">
        <f>ROUND(1510922011.06/_divisor,_decimos)</f>
        <v>1510922011.0599999</v>
      </c>
      <c r="E82" s="256"/>
      <c r="F82" s="255">
        <f>ROUND(25175728.83/_divisor,_decimos)-1*_arred</f>
        <v>25175728.829999998</v>
      </c>
      <c r="G82" s="256"/>
      <c r="H82" s="255">
        <f>ROUND(1421428867.4/_divisor,_decimos)+1*_arred</f>
        <v>1421428867.4000001</v>
      </c>
      <c r="I82" s="256"/>
      <c r="J82" s="255">
        <f>ROUND(28135727.23/_divisor,_decimos)</f>
        <v>28135727.23</v>
      </c>
      <c r="K82" s="256"/>
      <c r="L82" s="255">
        <f>ROUND(52275807.56/_divisor,_decimos)</f>
        <v>52275807.560000002</v>
      </c>
      <c r="M82" s="256"/>
      <c r="N82" s="255">
        <f>SUM(D82:L82)</f>
        <v>3037938142.0799999</v>
      </c>
      <c r="O82" s="18"/>
      <c r="P82" s="45" t="e">
        <f>N82-BP!#REF!</f>
        <v>#REF!</v>
      </c>
    </row>
    <row r="83" spans="2:16" ht="7.5" hidden="1" customHeight="1" x14ac:dyDescent="0.25">
      <c r="B83" s="15"/>
      <c r="C83" s="15"/>
      <c r="D83" s="255"/>
      <c r="E83" s="256"/>
      <c r="F83" s="255"/>
      <c r="G83" s="256"/>
      <c r="H83" s="255"/>
      <c r="I83" s="256"/>
      <c r="J83" s="255"/>
      <c r="K83" s="256"/>
      <c r="L83" s="255"/>
      <c r="M83" s="256"/>
      <c r="N83" s="255"/>
      <c r="O83" s="18"/>
      <c r="P83" s="45"/>
    </row>
    <row r="84" spans="2:16" hidden="1" x14ac:dyDescent="0.25">
      <c r="B84" s="43" t="s">
        <v>1360</v>
      </c>
      <c r="C84" s="43"/>
      <c r="D84" s="256"/>
      <c r="E84" s="256"/>
      <c r="F84" s="256"/>
      <c r="G84" s="256"/>
      <c r="H84" s="256"/>
      <c r="I84" s="256"/>
      <c r="J84" s="256"/>
      <c r="K84" s="256"/>
      <c r="L84" s="256">
        <f>ROUND(11132250.99/_divisor,_decimos)</f>
        <v>11132250.99</v>
      </c>
      <c r="M84" s="256"/>
      <c r="N84" s="255">
        <f>D84+F84+J84+L84+H84</f>
        <v>11132250.99</v>
      </c>
      <c r="O84" s="18"/>
      <c r="P84" s="19"/>
    </row>
    <row r="85" spans="2:16" ht="3.95" hidden="1" customHeight="1" x14ac:dyDescent="0.25">
      <c r="B85" s="19"/>
      <c r="C85" s="19"/>
      <c r="D85" s="256"/>
      <c r="E85" s="256"/>
      <c r="F85" s="256"/>
      <c r="G85" s="256"/>
      <c r="H85" s="256"/>
      <c r="I85" s="256"/>
      <c r="J85" s="256"/>
      <c r="K85" s="256"/>
      <c r="L85" s="256"/>
      <c r="M85" s="256"/>
      <c r="N85" s="255"/>
      <c r="O85" s="18"/>
      <c r="P85" s="19"/>
    </row>
    <row r="86" spans="2:16" hidden="1" x14ac:dyDescent="0.25">
      <c r="B86" s="43" t="s">
        <v>1354</v>
      </c>
      <c r="C86" s="43"/>
      <c r="D86" s="256"/>
      <c r="E86" s="256"/>
      <c r="F86" s="256"/>
      <c r="G86" s="256"/>
      <c r="H86" s="256"/>
      <c r="I86" s="256"/>
      <c r="J86" s="256"/>
      <c r="K86" s="256"/>
      <c r="L86" s="256"/>
      <c r="M86" s="256"/>
      <c r="N86" s="255"/>
      <c r="O86" s="18"/>
      <c r="P86" s="19"/>
    </row>
    <row r="87" spans="2:16" hidden="1" x14ac:dyDescent="0.25">
      <c r="B87" s="25" t="s">
        <v>1355</v>
      </c>
      <c r="C87" s="25"/>
      <c r="D87" s="256">
        <f>ROUND(63408058.55/_divisor,_decimos)</f>
        <v>63408058.549999997</v>
      </c>
      <c r="E87" s="256"/>
      <c r="F87" s="256"/>
      <c r="G87" s="256"/>
      <c r="H87" s="256"/>
      <c r="I87" s="256"/>
      <c r="J87" s="256"/>
      <c r="K87" s="256"/>
      <c r="L87" s="256">
        <f>-D87</f>
        <v>-63408058.549999997</v>
      </c>
      <c r="M87" s="256"/>
      <c r="N87" s="255">
        <f>D87+F87+J87+L87+H87</f>
        <v>0</v>
      </c>
      <c r="O87" s="18"/>
      <c r="P87" s="19"/>
    </row>
    <row r="88" spans="2:16" ht="3.95" hidden="1" customHeight="1" x14ac:dyDescent="0.25">
      <c r="B88" s="19"/>
      <c r="C88" s="19"/>
      <c r="D88" s="256"/>
      <c r="E88" s="256"/>
      <c r="F88" s="256"/>
      <c r="G88" s="256"/>
      <c r="H88" s="256"/>
      <c r="I88" s="256"/>
      <c r="J88" s="256"/>
      <c r="K88" s="256"/>
      <c r="L88" s="256"/>
      <c r="M88" s="256"/>
      <c r="N88" s="255"/>
      <c r="O88" s="18"/>
      <c r="P88" s="19"/>
    </row>
    <row r="89" spans="2:16" hidden="1" x14ac:dyDescent="0.25">
      <c r="B89" s="43" t="s">
        <v>1356</v>
      </c>
      <c r="C89" s="43"/>
      <c r="D89" s="256"/>
      <c r="E89" s="256"/>
      <c r="F89" s="256">
        <f>ROUND(461500/_divisor,_decimos)</f>
        <v>461500</v>
      </c>
      <c r="G89" s="256"/>
      <c r="H89" s="256"/>
      <c r="I89" s="256"/>
      <c r="J89" s="256"/>
      <c r="K89" s="256"/>
      <c r="L89" s="256"/>
      <c r="M89" s="256"/>
      <c r="N89" s="255">
        <f>D89+F89+J89+L89+H89</f>
        <v>461500</v>
      </c>
      <c r="O89" s="18"/>
      <c r="P89" s="19"/>
    </row>
    <row r="90" spans="2:16" ht="3.95" hidden="1" customHeight="1" x14ac:dyDescent="0.25">
      <c r="B90" s="19"/>
      <c r="C90" s="19"/>
      <c r="D90" s="256"/>
      <c r="E90" s="256"/>
      <c r="F90" s="256"/>
      <c r="G90" s="256"/>
      <c r="H90" s="256"/>
      <c r="I90" s="256"/>
      <c r="J90" s="256"/>
      <c r="K90" s="256"/>
      <c r="L90" s="256"/>
      <c r="M90" s="256"/>
      <c r="N90" s="255"/>
      <c r="O90" s="18"/>
      <c r="P90" s="19"/>
    </row>
    <row r="91" spans="2:16" hidden="1" x14ac:dyDescent="0.25">
      <c r="B91" s="43" t="s">
        <v>1363</v>
      </c>
      <c r="C91" s="43"/>
      <c r="D91" s="256"/>
      <c r="E91" s="256"/>
      <c r="F91" s="256"/>
      <c r="G91" s="256"/>
      <c r="H91" s="256"/>
      <c r="I91" s="256"/>
      <c r="J91" s="256"/>
      <c r="K91" s="256"/>
      <c r="L91" s="256"/>
      <c r="M91" s="256"/>
      <c r="N91" s="255"/>
      <c r="O91" s="18"/>
      <c r="P91" s="19"/>
    </row>
    <row r="92" spans="2:16" hidden="1" x14ac:dyDescent="0.25">
      <c r="B92" s="25" t="s">
        <v>1364</v>
      </c>
      <c r="C92" s="25"/>
      <c r="D92" s="256"/>
      <c r="E92" s="256"/>
      <c r="F92" s="256"/>
      <c r="G92" s="256"/>
      <c r="H92" s="256" t="e">
        <f>-DRA!K15</f>
        <v>#REF!</v>
      </c>
      <c r="I92" s="256"/>
      <c r="J92" s="256"/>
      <c r="K92" s="256"/>
      <c r="L92" s="256"/>
      <c r="M92" s="256"/>
      <c r="N92" s="255" t="e">
        <f>D92+F92+J92+L92+H92</f>
        <v>#REF!</v>
      </c>
      <c r="O92" s="18"/>
      <c r="P92" s="19"/>
    </row>
    <row r="93" spans="2:16" hidden="1" x14ac:dyDescent="0.25">
      <c r="B93" s="25" t="s">
        <v>1365</v>
      </c>
      <c r="C93" s="25"/>
      <c r="D93" s="256"/>
      <c r="E93" s="256"/>
      <c r="F93" s="256"/>
      <c r="G93" s="256"/>
      <c r="H93" s="256">
        <f>-DRA!M16</f>
        <v>3252331.32</v>
      </c>
      <c r="I93" s="256"/>
      <c r="J93" s="256"/>
      <c r="K93" s="256"/>
      <c r="L93" s="256"/>
      <c r="M93" s="256"/>
      <c r="N93" s="255">
        <f>D93+F93+J93+L93+H93</f>
        <v>3252331.32</v>
      </c>
      <c r="O93" s="18"/>
      <c r="P93" s="19"/>
    </row>
    <row r="94" spans="2:16" ht="3.95" hidden="1" customHeight="1" x14ac:dyDescent="0.25">
      <c r="B94" s="25"/>
      <c r="C94" s="25"/>
      <c r="D94" s="256"/>
      <c r="E94" s="256"/>
      <c r="F94" s="256"/>
      <c r="G94" s="256"/>
      <c r="H94" s="256"/>
      <c r="I94" s="256"/>
      <c r="J94" s="256"/>
      <c r="K94" s="256"/>
      <c r="L94" s="256"/>
      <c r="M94" s="256"/>
      <c r="N94" s="255"/>
      <c r="O94" s="18"/>
      <c r="P94" s="19"/>
    </row>
    <row r="95" spans="2:16" hidden="1" x14ac:dyDescent="0.25">
      <c r="B95" s="43" t="s">
        <v>1361</v>
      </c>
      <c r="C95" s="43"/>
      <c r="D95" s="256"/>
      <c r="E95" s="256"/>
      <c r="F95" s="256"/>
      <c r="G95" s="256"/>
      <c r="H95" s="257"/>
      <c r="I95" s="256"/>
      <c r="J95" s="256"/>
      <c r="K95" s="256"/>
      <c r="L95" s="256"/>
      <c r="M95" s="256"/>
      <c r="N95" s="255"/>
      <c r="O95" s="18"/>
      <c r="P95" s="19"/>
    </row>
    <row r="96" spans="2:16" hidden="1" x14ac:dyDescent="0.25">
      <c r="B96" s="25" t="s">
        <v>2375</v>
      </c>
      <c r="C96" s="43"/>
      <c r="D96" s="256"/>
      <c r="E96" s="256"/>
      <c r="F96" s="256"/>
      <c r="G96" s="256"/>
      <c r="H96" s="256"/>
      <c r="I96" s="256"/>
      <c r="J96" s="256" t="e">
        <f>DRA!M12</f>
        <v>#REF!</v>
      </c>
      <c r="K96" s="256"/>
      <c r="L96" s="256"/>
      <c r="M96" s="256"/>
      <c r="N96" s="255" t="e">
        <f>D96+F96+J96+L96</f>
        <v>#REF!</v>
      </c>
      <c r="O96" s="18"/>
      <c r="P96" s="19"/>
    </row>
    <row r="97" spans="2:18" hidden="1" x14ac:dyDescent="0.25">
      <c r="B97" s="25" t="s">
        <v>2376</v>
      </c>
      <c r="C97" s="43"/>
      <c r="D97" s="256"/>
      <c r="E97" s="256"/>
      <c r="F97" s="256"/>
      <c r="G97" s="256"/>
      <c r="H97" s="258"/>
      <c r="I97" s="256"/>
      <c r="J97" s="256">
        <f>DRA!M18</f>
        <v>5851848.9199999999</v>
      </c>
      <c r="K97" s="256"/>
      <c r="L97" s="256"/>
      <c r="M97" s="256"/>
      <c r="N97" s="255">
        <f>D97+F97+J97+L97</f>
        <v>5851848.9199999999</v>
      </c>
      <c r="O97" s="18"/>
      <c r="P97" s="19"/>
    </row>
    <row r="98" spans="2:18" ht="3.95" hidden="1" customHeight="1" x14ac:dyDescent="0.25">
      <c r="B98" s="21"/>
      <c r="C98" s="21"/>
      <c r="D98" s="259"/>
      <c r="E98" s="256"/>
      <c r="F98" s="259"/>
      <c r="G98" s="256"/>
      <c r="H98" s="256"/>
      <c r="I98" s="256"/>
      <c r="J98" s="259"/>
      <c r="K98" s="256"/>
      <c r="L98" s="259"/>
      <c r="M98" s="256"/>
      <c r="N98" s="259"/>
      <c r="O98" s="18"/>
      <c r="P98" s="19"/>
    </row>
    <row r="99" spans="2:18" x14ac:dyDescent="0.25">
      <c r="B99" s="15" t="str">
        <f>"Saldos em "&amp;TEXT(BP!$L$11,"DD")&amp;" de "&amp; LOWER(TEXT(BP!$L$11,"MMMMMMMM"))&amp;" de "&amp;TEXT(BP!$L$11,"AAAA")</f>
        <v>Saldos em 30 de setembro de 2018</v>
      </c>
      <c r="C99" s="15"/>
      <c r="D99" s="255">
        <v>1574330069.6099999</v>
      </c>
      <c r="E99" s="256"/>
      <c r="F99" s="255">
        <v>25637228.829999998</v>
      </c>
      <c r="G99" s="256"/>
      <c r="H99" s="255">
        <v>1415115518.48</v>
      </c>
      <c r="I99" s="256"/>
      <c r="J99" s="255">
        <v>45237751.75999999</v>
      </c>
      <c r="K99" s="256"/>
      <c r="L99" s="255">
        <v>0</v>
      </c>
      <c r="M99" s="256"/>
      <c r="N99" s="255">
        <v>3060320568.6800003</v>
      </c>
      <c r="O99" s="18"/>
      <c r="P99" s="45">
        <f>N99-BP!L97</f>
        <v>-31501545.229999542</v>
      </c>
    </row>
    <row r="100" spans="2:18" x14ac:dyDescent="0.25">
      <c r="B100" s="15"/>
      <c r="C100" s="15"/>
      <c r="D100" s="255"/>
      <c r="E100" s="256"/>
      <c r="F100" s="255"/>
      <c r="G100" s="256"/>
      <c r="H100" s="255"/>
      <c r="I100" s="256"/>
      <c r="J100" s="255"/>
      <c r="K100" s="256"/>
      <c r="L100" s="255"/>
      <c r="M100" s="256"/>
      <c r="N100" s="255"/>
      <c r="O100" s="18"/>
      <c r="P100" s="45"/>
    </row>
    <row r="101" spans="2:18" ht="15.75" thickBot="1" x14ac:dyDescent="0.3">
      <c r="B101" s="43" t="s">
        <v>1354</v>
      </c>
      <c r="C101" s="43"/>
      <c r="D101" s="256"/>
      <c r="E101" s="256"/>
      <c r="F101" s="256"/>
      <c r="G101" s="256"/>
      <c r="H101" s="256"/>
      <c r="I101" s="256"/>
      <c r="J101" s="256"/>
      <c r="K101" s="256"/>
      <c r="L101" s="256"/>
      <c r="M101" s="256"/>
      <c r="N101" s="255"/>
      <c r="O101" s="18"/>
      <c r="P101" s="19"/>
    </row>
    <row r="102" spans="2:18" ht="15.75" thickBot="1" x14ac:dyDescent="0.3">
      <c r="B102" s="25" t="s">
        <v>1355</v>
      </c>
      <c r="C102" s="25"/>
      <c r="D102" s="256">
        <v>3170491.9</v>
      </c>
      <c r="E102" s="256"/>
      <c r="F102" s="256"/>
      <c r="G102" s="256"/>
      <c r="H102" s="256"/>
      <c r="I102" s="256"/>
      <c r="J102" s="256"/>
      <c r="K102" s="256"/>
      <c r="L102" s="256"/>
      <c r="M102" s="256"/>
      <c r="N102" s="255">
        <v>3170491.9</v>
      </c>
      <c r="O102" s="18"/>
      <c r="P102" s="174">
        <v>1001</v>
      </c>
    </row>
    <row r="103" spans="2:18" ht="3.95" customHeight="1" thickBot="1" x14ac:dyDescent="0.3">
      <c r="B103" s="19"/>
      <c r="C103" s="19"/>
      <c r="D103" s="256"/>
      <c r="E103" s="256"/>
      <c r="F103" s="256"/>
      <c r="G103" s="256"/>
      <c r="H103" s="256"/>
      <c r="I103" s="256"/>
      <c r="J103" s="256"/>
      <c r="K103" s="256"/>
      <c r="L103" s="256"/>
      <c r="M103" s="256"/>
      <c r="N103" s="255"/>
      <c r="O103" s="18"/>
      <c r="P103" s="19"/>
    </row>
    <row r="104" spans="2:18" ht="15.75" thickBot="1" x14ac:dyDescent="0.3">
      <c r="B104" s="43" t="s">
        <v>1356</v>
      </c>
      <c r="C104" s="43"/>
      <c r="D104" s="256"/>
      <c r="E104" s="256"/>
      <c r="F104" s="256">
        <v>449250</v>
      </c>
      <c r="G104" s="256"/>
      <c r="H104" s="256"/>
      <c r="I104" s="256"/>
      <c r="J104" s="256"/>
      <c r="K104" s="256"/>
      <c r="L104" s="256"/>
      <c r="M104" s="256"/>
      <c r="N104" s="255">
        <v>449250</v>
      </c>
      <c r="O104" s="18"/>
      <c r="P104" s="174">
        <v>1823</v>
      </c>
    </row>
    <row r="105" spans="2:18" ht="3.95" customHeight="1" x14ac:dyDescent="0.25">
      <c r="B105" s="19"/>
      <c r="C105" s="19"/>
      <c r="D105" s="256"/>
      <c r="E105" s="256"/>
      <c r="F105" s="256"/>
      <c r="G105" s="256"/>
      <c r="H105" s="256"/>
      <c r="I105" s="256"/>
      <c r="J105" s="256"/>
      <c r="K105" s="256"/>
      <c r="L105" s="256"/>
      <c r="M105" s="256"/>
      <c r="N105" s="255"/>
      <c r="O105" s="18"/>
      <c r="P105" s="19"/>
    </row>
    <row r="106" spans="2:18" ht="15.75" thickBot="1" x14ac:dyDescent="0.3">
      <c r="B106" s="43" t="s">
        <v>1363</v>
      </c>
      <c r="C106" s="43"/>
      <c r="D106" s="256"/>
      <c r="E106" s="256"/>
      <c r="F106" s="256"/>
      <c r="G106" s="256"/>
      <c r="H106" s="256"/>
      <c r="I106" s="256"/>
      <c r="J106" s="256"/>
      <c r="K106" s="256"/>
      <c r="L106" s="256"/>
      <c r="M106" s="256"/>
      <c r="N106" s="255"/>
      <c r="O106" s="18"/>
      <c r="P106" s="19"/>
    </row>
    <row r="107" spans="2:18" ht="15.75" thickBot="1" x14ac:dyDescent="0.3">
      <c r="B107" s="25" t="s">
        <v>1364</v>
      </c>
      <c r="C107" s="25"/>
      <c r="D107" s="256"/>
      <c r="E107" s="256"/>
      <c r="F107" s="256"/>
      <c r="G107" s="256"/>
      <c r="H107" s="256">
        <v>-9565680.2400000002</v>
      </c>
      <c r="I107" s="256"/>
      <c r="J107" s="256"/>
      <c r="K107" s="256"/>
      <c r="L107" s="256"/>
      <c r="M107" s="256"/>
      <c r="N107" s="255">
        <v>-9565680.2400000002</v>
      </c>
      <c r="O107" s="18"/>
      <c r="P107" s="174">
        <v>984</v>
      </c>
      <c r="R107" s="14" t="e">
        <f>-H107-DRA!K15</f>
        <v>#REF!</v>
      </c>
    </row>
    <row r="108" spans="2:18" ht="15.75" thickBot="1" x14ac:dyDescent="0.3">
      <c r="B108" s="25" t="s">
        <v>1365</v>
      </c>
      <c r="C108" s="25"/>
      <c r="D108" s="256"/>
      <c r="E108" s="256"/>
      <c r="F108" s="256"/>
      <c r="G108" s="256"/>
      <c r="H108" s="256">
        <v>3252331.3200000003</v>
      </c>
      <c r="I108" s="256"/>
      <c r="J108" s="256"/>
      <c r="K108" s="256"/>
      <c r="L108" s="256"/>
      <c r="M108" s="256"/>
      <c r="N108" s="255">
        <v>3252331.3200000003</v>
      </c>
      <c r="O108" s="18"/>
      <c r="P108" s="174">
        <v>985</v>
      </c>
      <c r="Q108" s="174">
        <v>986</v>
      </c>
      <c r="R108" s="14" t="e">
        <f>-H108-DRA!K16</f>
        <v>#REF!</v>
      </c>
    </row>
    <row r="109" spans="2:18" ht="3.95" customHeight="1" x14ac:dyDescent="0.25">
      <c r="B109" s="25"/>
      <c r="C109" s="25"/>
      <c r="D109" s="256"/>
      <c r="E109" s="256"/>
      <c r="F109" s="256"/>
      <c r="G109" s="256"/>
      <c r="H109" s="256"/>
      <c r="I109" s="256"/>
      <c r="J109" s="256"/>
      <c r="K109" s="256"/>
      <c r="L109" s="256"/>
      <c r="M109" s="256"/>
      <c r="N109" s="255"/>
      <c r="O109" s="18"/>
      <c r="P109" s="19"/>
    </row>
    <row r="110" spans="2:18" x14ac:dyDescent="0.25">
      <c r="B110" s="43" t="s">
        <v>1361</v>
      </c>
      <c r="C110" s="43"/>
      <c r="D110" s="256"/>
      <c r="E110" s="256"/>
      <c r="F110" s="256"/>
      <c r="G110" s="256"/>
      <c r="H110" s="257"/>
      <c r="I110" s="256"/>
      <c r="J110" s="256"/>
      <c r="K110" s="256"/>
      <c r="L110" s="256"/>
      <c r="M110" s="256"/>
      <c r="N110" s="255"/>
      <c r="O110" s="18"/>
      <c r="P110" s="19"/>
    </row>
    <row r="111" spans="2:18" x14ac:dyDescent="0.25">
      <c r="B111" s="25" t="s">
        <v>2375</v>
      </c>
      <c r="C111" s="43"/>
      <c r="D111" s="256"/>
      <c r="E111" s="256"/>
      <c r="F111" s="256"/>
      <c r="G111" s="256"/>
      <c r="H111" s="256"/>
      <c r="I111" s="256"/>
      <c r="J111" s="256">
        <v>36717650.099999994</v>
      </c>
      <c r="K111" s="256"/>
      <c r="L111" s="256"/>
      <c r="M111" s="256"/>
      <c r="N111" s="255">
        <v>36717650.099999994</v>
      </c>
      <c r="O111" s="18"/>
      <c r="P111" s="19"/>
    </row>
    <row r="112" spans="2:18" x14ac:dyDescent="0.25">
      <c r="B112" s="25" t="s">
        <v>2376</v>
      </c>
      <c r="C112" s="43"/>
      <c r="D112" s="256"/>
      <c r="E112" s="256"/>
      <c r="F112" s="256"/>
      <c r="G112" s="256"/>
      <c r="H112" s="258"/>
      <c r="I112" s="256"/>
      <c r="J112" s="256">
        <v>5864098.9199999999</v>
      </c>
      <c r="K112" s="256"/>
      <c r="L112" s="256"/>
      <c r="M112" s="256"/>
      <c r="N112" s="255">
        <v>5864098.9199999999</v>
      </c>
      <c r="O112" s="18"/>
      <c r="P112" s="19"/>
    </row>
    <row r="113" spans="2:18" ht="3.95" customHeight="1" x14ac:dyDescent="0.25">
      <c r="B113" s="21"/>
      <c r="C113" s="21"/>
      <c r="D113" s="259"/>
      <c r="E113" s="256"/>
      <c r="F113" s="259"/>
      <c r="G113" s="256"/>
      <c r="H113" s="256"/>
      <c r="I113" s="256"/>
      <c r="J113" s="259"/>
      <c r="K113" s="256"/>
      <c r="L113" s="259"/>
      <c r="M113" s="256"/>
      <c r="N113" s="259"/>
      <c r="O113" s="18"/>
      <c r="P113" s="19"/>
    </row>
    <row r="114" spans="2:18" x14ac:dyDescent="0.25">
      <c r="B114" s="15" t="str">
        <f>"Saldos em "&amp;TEXT(BP!$J$11,"DD")&amp;" de "&amp; LOWER(TEXT(BP!$J$11,"MMMMMMMM"))&amp;" de "&amp;TEXT(BP!$J$11,"AAAA")</f>
        <v>Saldos em 31 de dezembro de 2018</v>
      </c>
      <c r="C114" s="15"/>
      <c r="D114" s="260">
        <v>1577500561.51</v>
      </c>
      <c r="E114" s="261"/>
      <c r="F114" s="260">
        <v>26086478.829999998</v>
      </c>
      <c r="G114" s="261"/>
      <c r="H114" s="260">
        <v>1408802169.5599999</v>
      </c>
      <c r="I114" s="261"/>
      <c r="J114" s="260">
        <v>87819500.779999986</v>
      </c>
      <c r="K114" s="261"/>
      <c r="L114" s="260">
        <v>0</v>
      </c>
      <c r="M114" s="261"/>
      <c r="N114" s="260">
        <v>3100208710.6800008</v>
      </c>
      <c r="O114" s="18"/>
      <c r="P114" s="45">
        <f>N114-BP!J97</f>
        <v>0</v>
      </c>
    </row>
    <row r="115" spans="2:18" x14ac:dyDescent="0.25">
      <c r="B115" s="15"/>
      <c r="C115" s="15"/>
      <c r="D115" s="255"/>
      <c r="E115" s="256"/>
      <c r="F115" s="255"/>
      <c r="G115" s="256"/>
      <c r="H115" s="255"/>
      <c r="I115" s="256"/>
      <c r="J115" s="255"/>
      <c r="K115" s="256"/>
      <c r="L115" s="255"/>
      <c r="M115" s="256"/>
      <c r="N115" s="255"/>
      <c r="O115" s="18"/>
      <c r="P115" s="45"/>
    </row>
    <row r="116" spans="2:18" ht="15.75" thickBot="1" x14ac:dyDescent="0.3">
      <c r="B116" s="43" t="s">
        <v>1354</v>
      </c>
      <c r="C116" s="43"/>
      <c r="D116" s="256"/>
      <c r="E116" s="256"/>
      <c r="F116" s="256"/>
      <c r="G116" s="256"/>
      <c r="H116" s="256"/>
      <c r="I116" s="256"/>
      <c r="J116" s="256"/>
      <c r="K116" s="256"/>
      <c r="L116" s="256"/>
      <c r="M116" s="256"/>
      <c r="N116" s="255"/>
      <c r="O116" s="18"/>
      <c r="P116" s="19"/>
    </row>
    <row r="117" spans="2:18" ht="15.75" thickBot="1" x14ac:dyDescent="0.3">
      <c r="B117" s="25" t="s">
        <v>1355</v>
      </c>
      <c r="C117" s="25"/>
      <c r="D117" s="256">
        <v>721350.44</v>
      </c>
      <c r="E117" s="256"/>
      <c r="F117" s="256"/>
      <c r="G117" s="256"/>
      <c r="H117" s="256"/>
      <c r="I117" s="256"/>
      <c r="J117" s="256"/>
      <c r="K117" s="256"/>
      <c r="L117" s="256"/>
      <c r="M117" s="256"/>
      <c r="N117" s="255">
        <v>721350.44</v>
      </c>
      <c r="O117" s="18"/>
      <c r="P117" s="174">
        <v>1001</v>
      </c>
      <c r="Q117" s="174">
        <v>954</v>
      </c>
    </row>
    <row r="118" spans="2:18" ht="3.95" customHeight="1" thickBot="1" x14ac:dyDescent="0.3">
      <c r="B118" s="19"/>
      <c r="C118" s="19"/>
      <c r="D118" s="256"/>
      <c r="E118" s="256"/>
      <c r="F118" s="256"/>
      <c r="G118" s="256"/>
      <c r="H118" s="256"/>
      <c r="I118" s="256"/>
      <c r="J118" s="256"/>
      <c r="K118" s="256"/>
      <c r="L118" s="256"/>
      <c r="M118" s="256"/>
      <c r="N118" s="255"/>
      <c r="O118" s="18"/>
      <c r="P118" s="19"/>
    </row>
    <row r="119" spans="2:18" ht="15.75" thickBot="1" x14ac:dyDescent="0.3">
      <c r="B119" s="43" t="s">
        <v>1356</v>
      </c>
      <c r="C119" s="43"/>
      <c r="D119" s="256"/>
      <c r="E119" s="256"/>
      <c r="F119" s="256">
        <v>257500</v>
      </c>
      <c r="G119" s="256"/>
      <c r="H119" s="256"/>
      <c r="I119" s="256"/>
      <c r="J119" s="256"/>
      <c r="K119" s="256"/>
      <c r="L119" s="256"/>
      <c r="M119" s="256"/>
      <c r="N119" s="255">
        <v>257500</v>
      </c>
      <c r="O119" s="18"/>
      <c r="P119" s="174">
        <v>1823</v>
      </c>
    </row>
    <row r="120" spans="2:18" ht="3.95" customHeight="1" x14ac:dyDescent="0.25">
      <c r="B120" s="19"/>
      <c r="C120" s="19"/>
      <c r="D120" s="256"/>
      <c r="E120" s="256"/>
      <c r="F120" s="256"/>
      <c r="G120" s="256"/>
      <c r="H120" s="256"/>
      <c r="I120" s="256"/>
      <c r="J120" s="256"/>
      <c r="K120" s="256"/>
      <c r="L120" s="256"/>
      <c r="M120" s="256"/>
      <c r="N120" s="255"/>
      <c r="O120" s="18"/>
      <c r="P120" s="19"/>
    </row>
    <row r="121" spans="2:18" ht="15.75" thickBot="1" x14ac:dyDescent="0.3">
      <c r="B121" s="43" t="s">
        <v>1363</v>
      </c>
      <c r="C121" s="43"/>
      <c r="D121" s="256"/>
      <c r="E121" s="256"/>
      <c r="F121" s="256"/>
      <c r="G121" s="256"/>
      <c r="H121" s="256"/>
      <c r="I121" s="256"/>
      <c r="J121" s="256"/>
      <c r="K121" s="256"/>
      <c r="L121" s="256"/>
      <c r="M121" s="256"/>
      <c r="N121" s="255"/>
      <c r="O121" s="18"/>
      <c r="P121" s="19"/>
    </row>
    <row r="122" spans="2:18" ht="15.75" thickBot="1" x14ac:dyDescent="0.3">
      <c r="B122" s="25" t="s">
        <v>1364</v>
      </c>
      <c r="C122" s="25"/>
      <c r="D122" s="256"/>
      <c r="E122" s="256"/>
      <c r="F122" s="256"/>
      <c r="G122" s="256"/>
      <c r="H122" s="256">
        <v>-7174260.1799999997</v>
      </c>
      <c r="I122" s="256"/>
      <c r="J122" s="256"/>
      <c r="K122" s="256"/>
      <c r="L122" s="256"/>
      <c r="M122" s="256"/>
      <c r="N122" s="255">
        <v>-7174260.1799999997</v>
      </c>
      <c r="O122" s="18"/>
      <c r="P122" s="174">
        <v>984</v>
      </c>
      <c r="R122" s="14">
        <f>-H122-DRA!K30</f>
        <v>7174260.1799999997</v>
      </c>
    </row>
    <row r="123" spans="2:18" ht="15.75" thickBot="1" x14ac:dyDescent="0.3">
      <c r="B123" s="25" t="s">
        <v>1365</v>
      </c>
      <c r="C123" s="25"/>
      <c r="D123" s="256"/>
      <c r="E123" s="256"/>
      <c r="F123" s="256"/>
      <c r="G123" s="256"/>
      <c r="H123" s="256">
        <v>2439248.4900000002</v>
      </c>
      <c r="I123" s="256"/>
      <c r="J123" s="256"/>
      <c r="K123" s="256"/>
      <c r="L123" s="256"/>
      <c r="M123" s="256"/>
      <c r="N123" s="255">
        <v>2439248.4900000002</v>
      </c>
      <c r="O123" s="18"/>
      <c r="P123" s="174">
        <v>985</v>
      </c>
      <c r="Q123" s="174">
        <v>986</v>
      </c>
      <c r="R123" s="14">
        <f>-H123-DRA!K31</f>
        <v>-2439248.4900000002</v>
      </c>
    </row>
    <row r="124" spans="2:18" ht="3.95" customHeight="1" x14ac:dyDescent="0.25">
      <c r="B124" s="25"/>
      <c r="C124" s="25"/>
      <c r="D124" s="256"/>
      <c r="E124" s="256"/>
      <c r="F124" s="256"/>
      <c r="G124" s="256"/>
      <c r="H124" s="256"/>
      <c r="I124" s="256"/>
      <c r="J124" s="256"/>
      <c r="K124" s="256"/>
      <c r="L124" s="256"/>
      <c r="M124" s="256"/>
      <c r="N124" s="255"/>
      <c r="O124" s="18"/>
      <c r="P124" s="19"/>
    </row>
    <row r="125" spans="2:18" x14ac:dyDescent="0.25">
      <c r="B125" s="43" t="s">
        <v>1361</v>
      </c>
      <c r="C125" s="43"/>
      <c r="D125" s="256"/>
      <c r="E125" s="256"/>
      <c r="F125" s="256"/>
      <c r="G125" s="256"/>
      <c r="H125" s="257"/>
      <c r="I125" s="256"/>
      <c r="J125" s="256"/>
      <c r="K125" s="256"/>
      <c r="L125" s="256"/>
      <c r="M125" s="256"/>
      <c r="N125" s="255"/>
      <c r="O125" s="18"/>
      <c r="P125" s="19"/>
    </row>
    <row r="126" spans="2:18" x14ac:dyDescent="0.25">
      <c r="B126" s="25" t="s">
        <v>2375</v>
      </c>
      <c r="C126" s="43"/>
      <c r="D126" s="256"/>
      <c r="E126" s="256"/>
      <c r="F126" s="256"/>
      <c r="G126" s="256"/>
      <c r="H126" s="256"/>
      <c r="I126" s="256"/>
      <c r="J126" s="256">
        <v>25972391.230000041</v>
      </c>
      <c r="K126" s="256"/>
      <c r="L126" s="256"/>
      <c r="M126" s="256"/>
      <c r="N126" s="255">
        <v>25972391.230000041</v>
      </c>
      <c r="O126" s="18"/>
      <c r="P126" s="19"/>
    </row>
    <row r="127" spans="2:18" x14ac:dyDescent="0.25">
      <c r="B127" s="25" t="s">
        <v>2376</v>
      </c>
      <c r="C127" s="43"/>
      <c r="D127" s="256"/>
      <c r="E127" s="256"/>
      <c r="F127" s="256"/>
      <c r="G127" s="256"/>
      <c r="H127" s="258"/>
      <c r="I127" s="256"/>
      <c r="J127" s="256">
        <v>4477511.6899999995</v>
      </c>
      <c r="K127" s="256"/>
      <c r="L127" s="256"/>
      <c r="M127" s="256"/>
      <c r="N127" s="255">
        <v>4477511.6899999995</v>
      </c>
      <c r="O127" s="18"/>
      <c r="P127" s="19"/>
    </row>
    <row r="128" spans="2:18" ht="3.95" customHeight="1" x14ac:dyDescent="0.25">
      <c r="B128" s="21"/>
      <c r="C128" s="21"/>
      <c r="D128" s="259"/>
      <c r="E128" s="256"/>
      <c r="F128" s="259"/>
      <c r="G128" s="256"/>
      <c r="H128" s="256"/>
      <c r="I128" s="256"/>
      <c r="J128" s="259"/>
      <c r="K128" s="256"/>
      <c r="L128" s="259"/>
      <c r="M128" s="256"/>
      <c r="N128" s="259"/>
      <c r="O128" s="18"/>
      <c r="P128" s="19"/>
    </row>
    <row r="129" spans="2:16" ht="15.75" thickBot="1" x14ac:dyDescent="0.3">
      <c r="B129" s="15" t="str">
        <f>"Saldos em "&amp;TEXT(BP!$H$11,"DD")&amp;" de "&amp; LOWER(TEXT(BP!$H$11,"MMMMMMMM"))&amp;" de "&amp;TEXT(BP!$H$11,"AAAA")</f>
        <v>Saldos em 30 de setembro de 2019</v>
      </c>
      <c r="C129" s="15"/>
      <c r="D129" s="262">
        <v>1578221911.95</v>
      </c>
      <c r="E129" s="256"/>
      <c r="F129" s="262">
        <v>26343978.829999998</v>
      </c>
      <c r="G129" s="256"/>
      <c r="H129" s="262">
        <v>1404067157.8699999</v>
      </c>
      <c r="I129" s="256"/>
      <c r="J129" s="262">
        <v>118269403.70000002</v>
      </c>
      <c r="K129" s="256"/>
      <c r="L129" s="262">
        <v>0</v>
      </c>
      <c r="M129" s="256"/>
      <c r="N129" s="262">
        <v>3126902452.3500009</v>
      </c>
      <c r="O129" s="18"/>
      <c r="P129" s="45">
        <f>N129-BP!H97</f>
        <v>0</v>
      </c>
    </row>
    <row r="130" spans="2:16" ht="15.75" thickTop="1" x14ac:dyDescent="0.25"/>
  </sheetData>
  <mergeCells count="7">
    <mergeCell ref="J50:N50"/>
    <mergeCell ref="J30:N30"/>
    <mergeCell ref="A2:O2"/>
    <mergeCell ref="A3:O3"/>
    <mergeCell ref="A5:O5"/>
    <mergeCell ref="A7:O7"/>
    <mergeCell ref="A6:O6"/>
  </mergeCells>
  <printOptions horizontalCentered="1"/>
  <pageMargins left="0.11811023622047245" right="0.11811023622047245" top="1.5748031496062993" bottom="0.98425196850393704" header="0.31496062992125984" footer="0.11811023622047245"/>
  <pageSetup paperSize="9" scale="73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78"/>
  <sheetViews>
    <sheetView showGridLines="0" view="pageBreakPreview" zoomScale="110" zoomScaleNormal="100" zoomScaleSheetLayoutView="110" workbookViewId="0">
      <pane ySplit="2" topLeftCell="A3" activePane="bottomLeft" state="frozen"/>
      <selection activeCell="D128" sqref="D128"/>
      <selection pane="bottomLeft" activeCell="F19" sqref="F19"/>
    </sheetView>
  </sheetViews>
  <sheetFormatPr defaultRowHeight="15" x14ac:dyDescent="0.25"/>
  <cols>
    <col min="1" max="1" width="1.7109375" customWidth="1"/>
    <col min="2" max="2" width="11.5703125" customWidth="1"/>
    <col min="3" max="4" width="11.5703125" style="2" customWidth="1"/>
    <col min="5" max="5" width="16" style="2" customWidth="1"/>
    <col min="6" max="6" width="11.28515625" style="1" customWidth="1"/>
    <col min="7" max="7" width="16.85546875" style="1" bestFit="1" customWidth="1"/>
    <col min="8" max="8" width="1.7109375" style="1" customWidth="1"/>
    <col min="9" max="9" width="16.85546875" style="1" hidden="1" customWidth="1"/>
    <col min="10" max="10" width="1.7109375" style="1" hidden="1" customWidth="1"/>
    <col min="11" max="11" width="16.85546875" style="1" bestFit="1" customWidth="1"/>
    <col min="12" max="13" width="13.42578125" hidden="1" customWidth="1"/>
    <col min="14" max="14" width="11.140625" hidden="1" customWidth="1"/>
    <col min="15" max="15" width="9.140625" hidden="1" customWidth="1"/>
    <col min="16" max="16" width="12.42578125" hidden="1" customWidth="1"/>
    <col min="18" max="18" width="13.140625" bestFit="1" customWidth="1"/>
  </cols>
  <sheetData>
    <row r="1" spans="1:14" x14ac:dyDescent="0.25">
      <c r="B1" s="227" t="s">
        <v>2443</v>
      </c>
      <c r="G1" s="232"/>
      <c r="I1" s="232"/>
      <c r="K1" s="232"/>
    </row>
    <row r="2" spans="1:14" x14ac:dyDescent="0.25">
      <c r="G2" s="270">
        <f>G68-BP!H15</f>
        <v>0</v>
      </c>
      <c r="I2" s="1">
        <f>I68-BP!J15</f>
        <v>0</v>
      </c>
      <c r="J2" s="2"/>
      <c r="K2" s="1">
        <f>K68-BP!L15</f>
        <v>-3.5762786865234375E-7</v>
      </c>
    </row>
    <row r="3" spans="1:14" x14ac:dyDescent="0.25">
      <c r="A3" s="295" t="s">
        <v>1253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</row>
    <row r="4" spans="1:14" x14ac:dyDescent="0.25">
      <c r="A4" s="295" t="s">
        <v>2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</row>
    <row r="5" spans="1:14" ht="3.95" customHeight="1" x14ac:dyDescent="0.25">
      <c r="A5" s="58"/>
      <c r="B5" s="58"/>
      <c r="C5" s="57"/>
      <c r="D5" s="57"/>
      <c r="E5" s="57"/>
      <c r="F5" s="59"/>
      <c r="G5" s="59"/>
      <c r="H5" s="59"/>
      <c r="I5" s="59"/>
      <c r="J5" s="59"/>
      <c r="K5" s="59"/>
    </row>
    <row r="6" spans="1:14" x14ac:dyDescent="0.25">
      <c r="A6" s="295" t="s">
        <v>1367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</row>
    <row r="7" spans="1:14" x14ac:dyDescent="0.25">
      <c r="A7" s="297" t="str">
        <f>DRE!A5:J5</f>
        <v>DO PERÍODO FINDO EM 30 DE SETEMBRO DE 2019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</row>
    <row r="8" spans="1:14" x14ac:dyDescent="0.25">
      <c r="A8" s="296" t="str">
        <f>_em</f>
        <v>(em reais)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</row>
    <row r="9" spans="1:14" ht="3.95" customHeight="1" x14ac:dyDescent="0.25"/>
    <row r="10" spans="1:14" ht="19.5" customHeight="1" x14ac:dyDescent="0.25">
      <c r="I10" s="229"/>
    </row>
    <row r="11" spans="1:14" x14ac:dyDescent="0.25">
      <c r="G11" s="165">
        <v>43738</v>
      </c>
      <c r="H11" s="271"/>
      <c r="I11" s="165">
        <v>43465</v>
      </c>
      <c r="K11" s="165">
        <v>43373</v>
      </c>
      <c r="L11" s="227" t="s">
        <v>2438</v>
      </c>
      <c r="M11" s="227"/>
      <c r="N11" s="227" t="s">
        <v>2439</v>
      </c>
    </row>
    <row r="12" spans="1:14" ht="3.95" customHeight="1" x14ac:dyDescent="0.25">
      <c r="G12" s="150"/>
      <c r="I12" s="150"/>
      <c r="K12" s="150"/>
    </row>
    <row r="13" spans="1:14" s="4" customFormat="1" ht="12.75" x14ac:dyDescent="0.2">
      <c r="A13" s="19"/>
      <c r="B13" s="15" t="s">
        <v>1368</v>
      </c>
      <c r="C13" s="19"/>
      <c r="D13" s="17"/>
      <c r="E13" s="16"/>
      <c r="F13" s="18"/>
      <c r="G13" s="18"/>
      <c r="H13" s="18"/>
      <c r="I13" s="18"/>
      <c r="J13" s="18"/>
      <c r="K13" s="18"/>
      <c r="L13" s="19"/>
      <c r="M13" s="19"/>
    </row>
    <row r="14" spans="1:14" s="4" customFormat="1" ht="8.1" customHeight="1" x14ac:dyDescent="0.2">
      <c r="A14" s="19"/>
      <c r="B14" s="32"/>
      <c r="C14" s="19"/>
      <c r="D14" s="17"/>
      <c r="E14" s="16"/>
      <c r="F14" s="18"/>
      <c r="G14" s="18"/>
      <c r="H14" s="18"/>
      <c r="I14" s="18"/>
      <c r="J14" s="18"/>
      <c r="K14" s="18"/>
      <c r="L14" s="19"/>
      <c r="M14" s="19"/>
    </row>
    <row r="15" spans="1:14" s="4" customFormat="1" ht="12.75" x14ac:dyDescent="0.2">
      <c r="A15" s="19"/>
      <c r="B15" s="46" t="s">
        <v>1369</v>
      </c>
      <c r="C15" s="19"/>
      <c r="D15" s="17"/>
      <c r="E15" s="16"/>
      <c r="F15" s="18"/>
      <c r="G15" s="263">
        <v>39695430.100000039</v>
      </c>
      <c r="H15" s="241"/>
      <c r="I15" s="263">
        <v>57287282.419999994</v>
      </c>
      <c r="J15" s="17"/>
      <c r="K15" s="263">
        <v>43230810.389999986</v>
      </c>
      <c r="L15" s="19"/>
      <c r="M15" s="19"/>
    </row>
    <row r="16" spans="1:14" s="4" customFormat="1" ht="8.1" customHeight="1" x14ac:dyDescent="0.2">
      <c r="A16" s="19"/>
      <c r="B16" s="21"/>
      <c r="C16" s="19"/>
      <c r="D16" s="17"/>
      <c r="E16" s="16"/>
      <c r="F16" s="18"/>
      <c r="G16" s="264"/>
      <c r="H16" s="241"/>
      <c r="I16" s="264"/>
      <c r="J16" s="17"/>
      <c r="K16" s="264"/>
      <c r="L16" s="19"/>
      <c r="M16" s="19"/>
    </row>
    <row r="17" spans="1:18" s="4" customFormat="1" ht="12.75" customHeight="1" x14ac:dyDescent="0.2">
      <c r="A17" s="19"/>
      <c r="B17" s="46" t="s">
        <v>1370</v>
      </c>
      <c r="C17" s="19"/>
      <c r="D17" s="17"/>
      <c r="E17" s="16"/>
      <c r="F17" s="18"/>
      <c r="G17" s="264"/>
      <c r="H17" s="241"/>
      <c r="I17" s="264"/>
      <c r="J17" s="17"/>
      <c r="K17" s="264"/>
      <c r="L17" s="19"/>
      <c r="M17" s="19"/>
    </row>
    <row r="18" spans="1:18" s="4" customFormat="1" ht="12.75" customHeight="1" x14ac:dyDescent="0.2">
      <c r="A18" s="19"/>
      <c r="B18" s="46" t="s">
        <v>1371</v>
      </c>
      <c r="C18" s="19"/>
      <c r="D18" s="17"/>
      <c r="E18" s="16"/>
      <c r="F18" s="18"/>
      <c r="G18" s="264"/>
      <c r="H18" s="241"/>
      <c r="I18" s="264"/>
      <c r="J18" s="17"/>
      <c r="K18" s="264"/>
      <c r="L18" s="19"/>
      <c r="M18" s="19"/>
    </row>
    <row r="19" spans="1:18" s="4" customFormat="1" ht="12.75" customHeight="1" x14ac:dyDescent="0.2">
      <c r="A19" s="19"/>
      <c r="B19" s="32" t="s">
        <v>1372</v>
      </c>
      <c r="C19" s="19"/>
      <c r="D19" s="17"/>
      <c r="E19" s="16"/>
      <c r="F19" s="18"/>
      <c r="G19" s="264">
        <v>-257500</v>
      </c>
      <c r="H19" s="241"/>
      <c r="I19" s="264">
        <v>-449250</v>
      </c>
      <c r="J19" s="17"/>
      <c r="K19" s="264">
        <v>-339000</v>
      </c>
      <c r="L19" s="230">
        <v>1823</v>
      </c>
      <c r="M19" s="230"/>
      <c r="N19" s="230">
        <v>1100</v>
      </c>
    </row>
    <row r="20" spans="1:18" s="4" customFormat="1" ht="12.75" customHeight="1" x14ac:dyDescent="0.25">
      <c r="A20" s="19"/>
      <c r="B20" s="32" t="s">
        <v>1319</v>
      </c>
      <c r="C20" s="19"/>
      <c r="D20" s="17"/>
      <c r="E20" s="16"/>
      <c r="F20" s="18"/>
      <c r="G20" s="264">
        <v>25469487.009999998</v>
      </c>
      <c r="H20" s="241"/>
      <c r="I20" s="264">
        <v>33897766.789999999</v>
      </c>
      <c r="J20" s="17"/>
      <c r="K20" s="264">
        <v>25424656.439999998</v>
      </c>
      <c r="L20" s="230">
        <v>1911</v>
      </c>
      <c r="M20"/>
      <c r="N20"/>
      <c r="R20" s="272"/>
    </row>
    <row r="21" spans="1:18" s="4" customFormat="1" ht="12.75" hidden="1" x14ac:dyDescent="0.2">
      <c r="A21" s="19"/>
      <c r="B21" s="32" t="s">
        <v>2374</v>
      </c>
      <c r="C21" s="19"/>
      <c r="D21" s="17"/>
      <c r="E21" s="16"/>
      <c r="F21" s="18"/>
      <c r="G21" s="264">
        <v>0</v>
      </c>
      <c r="H21" s="241"/>
      <c r="I21" s="264">
        <v>0</v>
      </c>
      <c r="J21" s="17"/>
      <c r="K21" s="264">
        <v>0</v>
      </c>
      <c r="L21" s="19"/>
      <c r="M21" s="19"/>
    </row>
    <row r="22" spans="1:18" s="4" customFormat="1" ht="12.75" hidden="1" customHeight="1" x14ac:dyDescent="0.2">
      <c r="A22" s="19"/>
      <c r="B22" s="32" t="s">
        <v>1373</v>
      </c>
      <c r="C22" s="19"/>
      <c r="D22" s="17"/>
      <c r="E22" s="16"/>
      <c r="F22" s="18"/>
      <c r="G22" s="264">
        <v>0</v>
      </c>
      <c r="H22" s="241"/>
      <c r="I22" s="264">
        <v>2376044.09</v>
      </c>
      <c r="J22" s="17"/>
      <c r="K22" s="264">
        <v>0</v>
      </c>
      <c r="L22" s="233">
        <v>1913</v>
      </c>
      <c r="M22" s="234">
        <v>1810</v>
      </c>
      <c r="N22" s="233">
        <v>450</v>
      </c>
      <c r="O22" s="234">
        <v>1033</v>
      </c>
    </row>
    <row r="23" spans="1:18" s="4" customFormat="1" ht="12.75" hidden="1" customHeight="1" x14ac:dyDescent="0.25">
      <c r="A23" s="19"/>
      <c r="B23" s="32" t="s">
        <v>2373</v>
      </c>
      <c r="C23" s="19"/>
      <c r="D23" s="17"/>
      <c r="E23" s="16"/>
      <c r="F23" s="18"/>
      <c r="G23" s="264">
        <v>0</v>
      </c>
      <c r="H23" s="241"/>
      <c r="I23" s="264">
        <v>2609359.46</v>
      </c>
      <c r="J23" s="17"/>
      <c r="K23" s="264">
        <v>0</v>
      </c>
      <c r="L23" s="230">
        <v>1912</v>
      </c>
      <c r="M23"/>
      <c r="N23" s="230">
        <v>449</v>
      </c>
    </row>
    <row r="24" spans="1:18" s="4" customFormat="1" ht="12.75" hidden="1" customHeight="1" x14ac:dyDescent="0.2">
      <c r="A24" s="19"/>
      <c r="B24" s="32" t="s">
        <v>2442</v>
      </c>
      <c r="C24" s="19"/>
      <c r="D24" s="17"/>
      <c r="E24" s="16"/>
      <c r="F24" s="18"/>
      <c r="G24" s="264">
        <v>0</v>
      </c>
      <c r="H24" s="241"/>
      <c r="I24" s="264">
        <v>0</v>
      </c>
      <c r="J24" s="17"/>
      <c r="K24" s="264">
        <v>0</v>
      </c>
      <c r="L24" s="230">
        <v>637</v>
      </c>
      <c r="M24" s="230"/>
      <c r="N24" s="230">
        <v>880</v>
      </c>
    </row>
    <row r="25" spans="1:18" s="4" customFormat="1" ht="12.75" customHeight="1" x14ac:dyDescent="0.2">
      <c r="A25" s="19"/>
      <c r="B25" s="32" t="s">
        <v>1299</v>
      </c>
      <c r="C25" s="19"/>
      <c r="D25" s="17"/>
      <c r="E25" s="16"/>
      <c r="F25" s="18"/>
      <c r="G25" s="264">
        <v>-2439248.4900000002</v>
      </c>
      <c r="H25" s="241"/>
      <c r="I25" s="264">
        <v>-4139513.54</v>
      </c>
      <c r="J25" s="17"/>
      <c r="K25" s="264">
        <v>-2439248.4900000002</v>
      </c>
      <c r="L25" s="230">
        <v>948</v>
      </c>
      <c r="M25" s="19"/>
    </row>
    <row r="26" spans="1:18" s="4" customFormat="1" ht="12.75" x14ac:dyDescent="0.2">
      <c r="A26" s="19"/>
      <c r="B26" s="46"/>
      <c r="C26" s="19"/>
      <c r="D26" s="17"/>
      <c r="E26" s="16"/>
      <c r="F26" s="18"/>
      <c r="G26" s="265">
        <v>62468168.620000035</v>
      </c>
      <c r="H26" s="241"/>
      <c r="I26" s="265">
        <v>91581689.219999984</v>
      </c>
      <c r="J26" s="17"/>
      <c r="K26" s="265">
        <v>65877218.339999981</v>
      </c>
      <c r="L26" s="19"/>
      <c r="M26" s="19"/>
    </row>
    <row r="27" spans="1:18" s="4" customFormat="1" ht="12.75" x14ac:dyDescent="0.2">
      <c r="A27" s="19"/>
      <c r="B27" s="32" t="s">
        <v>1374</v>
      </c>
      <c r="C27" s="19"/>
      <c r="D27" s="17"/>
      <c r="E27" s="16"/>
      <c r="F27" s="18"/>
      <c r="G27" s="264"/>
      <c r="H27" s="241"/>
      <c r="I27" s="264"/>
      <c r="J27" s="17"/>
      <c r="K27" s="264"/>
      <c r="L27" s="19"/>
      <c r="M27" s="19"/>
    </row>
    <row r="28" spans="1:18" s="4" customFormat="1" ht="12.75" x14ac:dyDescent="0.2">
      <c r="A28" s="19"/>
      <c r="B28" s="21" t="s">
        <v>1261</v>
      </c>
      <c r="C28" s="19"/>
      <c r="D28" s="17"/>
      <c r="E28" s="16"/>
      <c r="F28" s="18"/>
      <c r="G28" s="264">
        <v>-1477672.0100000016</v>
      </c>
      <c r="H28" s="241"/>
      <c r="I28" s="264">
        <v>-472359.21000000089</v>
      </c>
      <c r="J28" s="17"/>
      <c r="K28" s="264">
        <v>-500950.89999999851</v>
      </c>
      <c r="L28" s="45"/>
      <c r="M28" s="45"/>
    </row>
    <row r="29" spans="1:18" s="4" customFormat="1" ht="12.75" x14ac:dyDescent="0.2">
      <c r="A29" s="19"/>
      <c r="B29" s="21" t="s">
        <v>1375</v>
      </c>
      <c r="C29" s="19"/>
      <c r="D29" s="17"/>
      <c r="E29" s="16"/>
      <c r="F29" s="18"/>
      <c r="G29" s="264">
        <v>3395000.0000000005</v>
      </c>
      <c r="H29" s="241"/>
      <c r="I29" s="264">
        <v>64080.439999999478</v>
      </c>
      <c r="J29" s="17"/>
      <c r="K29" s="264">
        <v>3459080.44</v>
      </c>
      <c r="L29" s="19"/>
      <c r="M29" s="19"/>
    </row>
    <row r="30" spans="1:18" s="4" customFormat="1" ht="12.75" x14ac:dyDescent="0.2">
      <c r="A30" s="19"/>
      <c r="B30" s="21" t="s">
        <v>1263</v>
      </c>
      <c r="C30" s="19"/>
      <c r="D30" s="17"/>
      <c r="E30" s="16"/>
      <c r="F30" s="47"/>
      <c r="G30" s="264">
        <v>-1013407.81</v>
      </c>
      <c r="H30" s="251"/>
      <c r="I30" s="264">
        <v>-318822.44999999995</v>
      </c>
      <c r="J30" s="23"/>
      <c r="K30" s="264">
        <v>-922160.37000000011</v>
      </c>
      <c r="L30" s="19"/>
      <c r="M30" s="19"/>
    </row>
    <row r="31" spans="1:18" s="4" customFormat="1" ht="12.75" x14ac:dyDescent="0.2">
      <c r="A31" s="19"/>
      <c r="B31" s="21" t="s">
        <v>1376</v>
      </c>
      <c r="C31" s="19"/>
      <c r="D31" s="17"/>
      <c r="E31" s="16"/>
      <c r="F31" s="18"/>
      <c r="G31" s="264">
        <v>-11886350.640000001</v>
      </c>
      <c r="H31" s="241"/>
      <c r="I31" s="264">
        <v>-534032.9299999997</v>
      </c>
      <c r="J31" s="17"/>
      <c r="K31" s="264">
        <v>-14986699.800000001</v>
      </c>
      <c r="L31" s="19"/>
      <c r="M31" s="19"/>
    </row>
    <row r="32" spans="1:18" s="4" customFormat="1" ht="12.75" x14ac:dyDescent="0.2">
      <c r="A32" s="19"/>
      <c r="B32" s="21" t="s">
        <v>1270</v>
      </c>
      <c r="C32" s="19"/>
      <c r="D32" s="17"/>
      <c r="E32" s="16"/>
      <c r="F32" s="47"/>
      <c r="G32" s="264">
        <v>-3741100.16</v>
      </c>
      <c r="H32" s="251"/>
      <c r="I32" s="264">
        <v>-383851.03000000119</v>
      </c>
      <c r="J32" s="23"/>
      <c r="K32" s="264">
        <v>-325039.94999999925</v>
      </c>
      <c r="L32" s="19"/>
      <c r="M32" s="19"/>
    </row>
    <row r="33" spans="1:13" s="4" customFormat="1" ht="12.75" hidden="1" x14ac:dyDescent="0.2">
      <c r="A33" s="19"/>
      <c r="B33" s="21" t="s">
        <v>1271</v>
      </c>
      <c r="C33" s="19"/>
      <c r="D33" s="17"/>
      <c r="E33" s="16"/>
      <c r="F33" s="47"/>
      <c r="G33" s="264">
        <v>0</v>
      </c>
      <c r="H33" s="251"/>
      <c r="I33" s="264">
        <v>0</v>
      </c>
      <c r="J33" s="23"/>
      <c r="K33" s="264">
        <v>0</v>
      </c>
      <c r="L33" s="19"/>
      <c r="M33" s="19"/>
    </row>
    <row r="34" spans="1:13" s="4" customFormat="1" ht="12.75" hidden="1" x14ac:dyDescent="0.2">
      <c r="A34" s="19"/>
      <c r="B34" s="21" t="s">
        <v>1377</v>
      </c>
      <c r="C34" s="19"/>
      <c r="D34" s="17"/>
      <c r="E34" s="16"/>
      <c r="F34" s="18"/>
      <c r="G34" s="264">
        <v>0</v>
      </c>
      <c r="H34" s="241"/>
      <c r="I34" s="264">
        <v>0</v>
      </c>
      <c r="J34" s="17"/>
      <c r="K34" s="264">
        <v>0</v>
      </c>
      <c r="L34" s="19"/>
      <c r="M34" s="19"/>
    </row>
    <row r="35" spans="1:13" s="4" customFormat="1" ht="12.75" hidden="1" x14ac:dyDescent="0.2">
      <c r="A35" s="19"/>
      <c r="B35" s="21" t="s">
        <v>1378</v>
      </c>
      <c r="C35" s="19"/>
      <c r="D35" s="17"/>
      <c r="E35" s="16"/>
      <c r="F35" s="18"/>
      <c r="G35" s="264">
        <v>0</v>
      </c>
      <c r="H35" s="241"/>
      <c r="I35" s="264">
        <v>0</v>
      </c>
      <c r="J35" s="17"/>
      <c r="K35" s="264">
        <v>0</v>
      </c>
      <c r="L35" s="19"/>
      <c r="M35" s="19"/>
    </row>
    <row r="36" spans="1:13" s="4" customFormat="1" ht="12.75" x14ac:dyDescent="0.2">
      <c r="A36" s="19"/>
      <c r="B36" s="21"/>
      <c r="C36" s="19"/>
      <c r="D36" s="17"/>
      <c r="E36" s="16"/>
      <c r="F36" s="18"/>
      <c r="G36" s="265">
        <v>-14723530.620000001</v>
      </c>
      <c r="H36" s="241"/>
      <c r="I36" s="265">
        <v>-1644985.1800000023</v>
      </c>
      <c r="J36" s="17"/>
      <c r="K36" s="265">
        <v>-13275770.579999998</v>
      </c>
      <c r="L36" s="19"/>
      <c r="M36" s="19"/>
    </row>
    <row r="37" spans="1:13" s="4" customFormat="1" ht="12.75" x14ac:dyDescent="0.2">
      <c r="A37" s="19"/>
      <c r="B37" s="32" t="s">
        <v>1379</v>
      </c>
      <c r="C37" s="19"/>
      <c r="D37" s="17"/>
      <c r="E37" s="16"/>
      <c r="F37" s="18"/>
      <c r="G37" s="264"/>
      <c r="H37" s="241"/>
      <c r="I37" s="264"/>
      <c r="J37" s="17"/>
      <c r="K37" s="264"/>
      <c r="L37" s="19"/>
      <c r="M37" s="19"/>
    </row>
    <row r="38" spans="1:13" s="4" customFormat="1" ht="12.75" x14ac:dyDescent="0.2">
      <c r="A38" s="19"/>
      <c r="B38" s="21" t="s">
        <v>1289</v>
      </c>
      <c r="C38" s="19"/>
      <c r="D38" s="17"/>
      <c r="E38" s="16"/>
      <c r="F38" s="18"/>
      <c r="G38" s="264">
        <v>2813374.099999994</v>
      </c>
      <c r="H38" s="241"/>
      <c r="I38" s="264">
        <v>-1296636.9099999964</v>
      </c>
      <c r="J38" s="17"/>
      <c r="K38" s="264">
        <v>2408165.4399999976</v>
      </c>
      <c r="L38" s="19"/>
      <c r="M38" s="19"/>
    </row>
    <row r="39" spans="1:13" s="4" customFormat="1" ht="12.75" x14ac:dyDescent="0.2">
      <c r="A39" s="19"/>
      <c r="B39" s="21" t="s">
        <v>1290</v>
      </c>
      <c r="C39" s="19"/>
      <c r="D39" s="17"/>
      <c r="E39" s="16"/>
      <c r="F39" s="18"/>
      <c r="G39" s="264">
        <v>852847.69</v>
      </c>
      <c r="H39" s="241"/>
      <c r="I39" s="264">
        <v>884322.23</v>
      </c>
      <c r="J39" s="17"/>
      <c r="K39" s="264">
        <v>896362.19</v>
      </c>
      <c r="L39" s="19"/>
      <c r="M39" s="19"/>
    </row>
    <row r="40" spans="1:13" s="4" customFormat="1" ht="12.75" x14ac:dyDescent="0.2">
      <c r="A40" s="19"/>
      <c r="B40" s="21" t="s">
        <v>1291</v>
      </c>
      <c r="C40" s="19"/>
      <c r="D40" s="17"/>
      <c r="E40" s="16"/>
      <c r="F40" s="18"/>
      <c r="G40" s="264">
        <v>11367861.33</v>
      </c>
      <c r="H40" s="241"/>
      <c r="I40" s="264">
        <v>3277080.9700000007</v>
      </c>
      <c r="J40" s="17"/>
      <c r="K40" s="264">
        <v>16550835.379999999</v>
      </c>
      <c r="L40" s="19"/>
      <c r="M40" s="19"/>
    </row>
    <row r="41" spans="1:13" s="4" customFormat="1" ht="12.75" x14ac:dyDescent="0.2">
      <c r="A41" s="19"/>
      <c r="B41" s="21" t="s">
        <v>1292</v>
      </c>
      <c r="C41" s="19"/>
      <c r="D41" s="17"/>
      <c r="E41" s="16"/>
      <c r="F41" s="18"/>
      <c r="G41" s="264">
        <v>1328240.21</v>
      </c>
      <c r="H41" s="241"/>
      <c r="I41" s="264">
        <v>444747.28000000026</v>
      </c>
      <c r="J41" s="17"/>
      <c r="K41" s="264">
        <v>1886781.2299999995</v>
      </c>
      <c r="L41" s="19"/>
      <c r="M41" s="19"/>
    </row>
    <row r="42" spans="1:13" s="4" customFormat="1" ht="12.75" x14ac:dyDescent="0.2">
      <c r="A42" s="19"/>
      <c r="B42" s="21" t="s">
        <v>1293</v>
      </c>
      <c r="C42" s="19"/>
      <c r="D42" s="17"/>
      <c r="E42" s="16"/>
      <c r="F42" s="18"/>
      <c r="G42" s="264">
        <v>-392.67999999999302</v>
      </c>
      <c r="H42" s="241"/>
      <c r="I42" s="264">
        <v>30756.5</v>
      </c>
      <c r="J42" s="17"/>
      <c r="K42" s="264">
        <v>-27171.859999999986</v>
      </c>
      <c r="L42" s="19"/>
      <c r="M42" s="19"/>
    </row>
    <row r="43" spans="1:13" s="4" customFormat="1" ht="12.75" x14ac:dyDescent="0.2">
      <c r="A43" s="19"/>
      <c r="B43" s="21" t="s">
        <v>1300</v>
      </c>
      <c r="C43" s="19"/>
      <c r="D43" s="17"/>
      <c r="E43" s="16"/>
      <c r="F43" s="18"/>
      <c r="G43" s="264">
        <v>-101423.27999999933</v>
      </c>
      <c r="H43" s="241"/>
      <c r="I43" s="264"/>
      <c r="J43" s="17"/>
      <c r="K43" s="264">
        <v>0</v>
      </c>
      <c r="L43" s="19"/>
      <c r="M43" s="19"/>
    </row>
    <row r="44" spans="1:13" s="4" customFormat="1" ht="12.75" x14ac:dyDescent="0.2">
      <c r="A44" s="19"/>
      <c r="B44" s="21" t="s">
        <v>1380</v>
      </c>
      <c r="C44" s="19"/>
      <c r="D44" s="17"/>
      <c r="E44" s="16"/>
      <c r="F44" s="18"/>
      <c r="G44" s="264">
        <v>-10691003.479999999</v>
      </c>
      <c r="H44" s="241"/>
      <c r="I44" s="264">
        <v>-20934542.720000003</v>
      </c>
      <c r="J44" s="17"/>
      <c r="K44" s="264">
        <v>-15845153.73</v>
      </c>
      <c r="L44" s="19"/>
      <c r="M44" s="19"/>
    </row>
    <row r="45" spans="1:13" s="4" customFormat="1" ht="12.75" x14ac:dyDescent="0.2">
      <c r="A45" s="19"/>
      <c r="B45" s="21"/>
      <c r="C45" s="19"/>
      <c r="D45" s="17"/>
      <c r="E45" s="16"/>
      <c r="F45" s="18"/>
      <c r="G45" s="265">
        <v>5569503.8899999969</v>
      </c>
      <c r="H45" s="241"/>
      <c r="I45" s="265">
        <v>-17594272.649999999</v>
      </c>
      <c r="J45" s="17"/>
      <c r="K45" s="265">
        <v>5869818.6499999985</v>
      </c>
      <c r="L45" s="19"/>
      <c r="M45" s="19"/>
    </row>
    <row r="46" spans="1:13" s="4" customFormat="1" ht="12.75" x14ac:dyDescent="0.2">
      <c r="A46" s="19"/>
      <c r="B46" s="15" t="s">
        <v>1381</v>
      </c>
      <c r="C46" s="19"/>
      <c r="D46" s="17"/>
      <c r="E46" s="16"/>
      <c r="F46" s="18"/>
      <c r="G46" s="266">
        <v>53314141.89000003</v>
      </c>
      <c r="H46" s="241"/>
      <c r="I46" s="266">
        <v>72342431.389999986</v>
      </c>
      <c r="J46" s="17"/>
      <c r="K46" s="266">
        <v>58471266.409999982</v>
      </c>
      <c r="L46" s="19"/>
      <c r="M46" s="19"/>
    </row>
    <row r="47" spans="1:13" s="4" customFormat="1" ht="12.75" x14ac:dyDescent="0.2">
      <c r="A47" s="19"/>
      <c r="B47" s="32" t="s">
        <v>1382</v>
      </c>
      <c r="C47" s="19"/>
      <c r="D47" s="17"/>
      <c r="E47" s="16"/>
      <c r="F47" s="18"/>
      <c r="G47" s="264">
        <v>-13723038.870000001</v>
      </c>
      <c r="H47" s="241"/>
      <c r="I47" s="264">
        <v>-20569632.32</v>
      </c>
      <c r="J47" s="17"/>
      <c r="K47" s="264">
        <v>-14349084.149999999</v>
      </c>
      <c r="L47" s="19"/>
      <c r="M47" s="19"/>
    </row>
    <row r="48" spans="1:13" s="4" customFormat="1" ht="12.75" x14ac:dyDescent="0.2">
      <c r="A48" s="19"/>
      <c r="B48" s="34" t="s">
        <v>1383</v>
      </c>
      <c r="C48" s="19"/>
      <c r="D48" s="23"/>
      <c r="E48" s="16"/>
      <c r="F48" s="47"/>
      <c r="G48" s="267">
        <v>39591103.020000026</v>
      </c>
      <c r="H48" s="251"/>
      <c r="I48" s="267">
        <v>51772799.069999985</v>
      </c>
      <c r="J48" s="23"/>
      <c r="K48" s="267">
        <v>44122182.259999983</v>
      </c>
      <c r="L48" s="19"/>
      <c r="M48" s="19"/>
    </row>
    <row r="49" spans="1:16" s="4" customFormat="1" ht="9" customHeight="1" x14ac:dyDescent="0.2">
      <c r="A49" s="19"/>
      <c r="B49" s="21"/>
      <c r="C49" s="19"/>
      <c r="D49" s="17"/>
      <c r="E49" s="16"/>
      <c r="F49" s="18"/>
      <c r="G49" s="264"/>
      <c r="H49" s="241"/>
      <c r="I49" s="264"/>
      <c r="J49" s="17"/>
      <c r="K49" s="264"/>
      <c r="L49" s="19"/>
      <c r="M49" s="19"/>
    </row>
    <row r="50" spans="1:16" s="4" customFormat="1" ht="12.75" x14ac:dyDescent="0.2">
      <c r="A50" s="19"/>
      <c r="B50" s="15" t="s">
        <v>1384</v>
      </c>
      <c r="C50" s="19"/>
      <c r="D50" s="17"/>
      <c r="E50" s="16"/>
      <c r="F50" s="18"/>
      <c r="G50" s="264"/>
      <c r="H50" s="241"/>
      <c r="I50" s="264"/>
      <c r="J50" s="17"/>
      <c r="K50" s="264"/>
      <c r="L50" s="19"/>
      <c r="M50" s="19"/>
    </row>
    <row r="51" spans="1:16" s="4" customFormat="1" ht="12.75" x14ac:dyDescent="0.2">
      <c r="A51" s="19"/>
      <c r="B51" s="32" t="s">
        <v>1385</v>
      </c>
      <c r="C51" s="19"/>
      <c r="D51" s="17"/>
      <c r="E51" s="16"/>
      <c r="F51" s="18"/>
      <c r="G51" s="264">
        <v>721350.44</v>
      </c>
      <c r="H51" s="241"/>
      <c r="I51" s="264">
        <v>3170491.9</v>
      </c>
      <c r="J51" s="17"/>
      <c r="K51" s="264">
        <v>2619818.9900000095</v>
      </c>
      <c r="L51" s="230">
        <v>1001</v>
      </c>
      <c r="M51" s="19"/>
    </row>
    <row r="52" spans="1:16" s="4" customFormat="1" ht="12.75" hidden="1" x14ac:dyDescent="0.2">
      <c r="A52" s="19"/>
      <c r="B52" s="32" t="s">
        <v>1301</v>
      </c>
      <c r="C52" s="19"/>
      <c r="D52" s="17"/>
      <c r="E52" s="16"/>
      <c r="F52" s="18"/>
      <c r="G52" s="264">
        <v>0</v>
      </c>
      <c r="H52" s="241"/>
      <c r="I52" s="264">
        <v>0</v>
      </c>
      <c r="J52" s="17"/>
      <c r="K52" s="264">
        <v>0</v>
      </c>
      <c r="L52" s="45"/>
      <c r="M52" s="45"/>
    </row>
    <row r="53" spans="1:16" s="4" customFormat="1" ht="12.75" x14ac:dyDescent="0.2">
      <c r="A53" s="19"/>
      <c r="B53" s="32" t="s">
        <v>1386</v>
      </c>
      <c r="C53" s="19"/>
      <c r="D53" s="17"/>
      <c r="E53" s="16"/>
      <c r="F53" s="18"/>
      <c r="G53" s="264">
        <v>-4688136.6100000143</v>
      </c>
      <c r="H53" s="241"/>
      <c r="I53" s="264">
        <v>-7026155.6299999952</v>
      </c>
      <c r="J53" s="17"/>
      <c r="K53" s="264">
        <v>-5133159.1399999857</v>
      </c>
      <c r="L53" s="19"/>
      <c r="M53" s="19"/>
    </row>
    <row r="54" spans="1:16" s="4" customFormat="1" ht="12.75" x14ac:dyDescent="0.2">
      <c r="A54" s="19"/>
      <c r="B54" s="32" t="s">
        <v>1387</v>
      </c>
      <c r="C54" s="19"/>
      <c r="D54" s="17"/>
      <c r="E54" s="16"/>
      <c r="F54" s="18"/>
      <c r="G54" s="264">
        <v>1112544.74</v>
      </c>
      <c r="H54" s="241"/>
      <c r="I54" s="264">
        <v>1588547.47</v>
      </c>
      <c r="J54" s="17"/>
      <c r="K54" s="264">
        <v>1195001.1400000006</v>
      </c>
      <c r="L54" s="230">
        <v>947</v>
      </c>
      <c r="M54" s="19"/>
    </row>
    <row r="55" spans="1:16" s="4" customFormat="1" ht="12.75" hidden="1" x14ac:dyDescent="0.2">
      <c r="A55" s="19"/>
      <c r="B55" s="32" t="s">
        <v>1388</v>
      </c>
      <c r="C55" s="19"/>
      <c r="D55" s="17"/>
      <c r="E55" s="16"/>
      <c r="F55" s="18"/>
      <c r="G55" s="264">
        <v>0</v>
      </c>
      <c r="H55" s="241"/>
      <c r="I55" s="264">
        <v>0</v>
      </c>
      <c r="J55" s="17"/>
      <c r="K55" s="264">
        <v>0</v>
      </c>
      <c r="L55" s="19"/>
      <c r="M55" s="19"/>
    </row>
    <row r="56" spans="1:16" s="4" customFormat="1" ht="12.75" hidden="1" x14ac:dyDescent="0.2">
      <c r="A56" s="19"/>
      <c r="B56" s="32" t="s">
        <v>1288</v>
      </c>
      <c r="C56" s="19"/>
      <c r="D56" s="17"/>
      <c r="E56" s="16"/>
      <c r="F56" s="18"/>
      <c r="G56" s="264">
        <v>0</v>
      </c>
      <c r="H56" s="241"/>
      <c r="I56" s="264">
        <v>0</v>
      </c>
      <c r="J56" s="17"/>
      <c r="K56" s="264">
        <v>0</v>
      </c>
      <c r="L56" s="19"/>
      <c r="M56" s="19"/>
    </row>
    <row r="57" spans="1:16" s="4" customFormat="1" ht="12.75" hidden="1" x14ac:dyDescent="0.2">
      <c r="A57" s="19"/>
      <c r="B57" s="32" t="s">
        <v>1389</v>
      </c>
      <c r="C57" s="19"/>
      <c r="D57" s="17"/>
      <c r="E57" s="16"/>
      <c r="F57" s="18"/>
      <c r="G57" s="264">
        <v>0</v>
      </c>
      <c r="H57" s="241"/>
      <c r="I57" s="264">
        <v>0</v>
      </c>
      <c r="J57" s="17"/>
      <c r="K57" s="264">
        <v>0</v>
      </c>
      <c r="L57" s="19"/>
      <c r="M57" s="19"/>
    </row>
    <row r="58" spans="1:16" s="4" customFormat="1" ht="12.75" x14ac:dyDescent="0.2">
      <c r="A58" s="19"/>
      <c r="B58" s="34" t="s">
        <v>1390</v>
      </c>
      <c r="C58" s="19"/>
      <c r="D58" s="17"/>
      <c r="E58" s="16"/>
      <c r="F58" s="18"/>
      <c r="G58" s="267">
        <v>-2854241.4300000146</v>
      </c>
      <c r="H58" s="241"/>
      <c r="I58" s="267">
        <v>-2267116.2599999951</v>
      </c>
      <c r="J58" s="17"/>
      <c r="K58" s="267">
        <v>-1318339.0099999756</v>
      </c>
      <c r="L58" s="19"/>
      <c r="M58" s="19"/>
    </row>
    <row r="59" spans="1:16" s="4" customFormat="1" ht="6" customHeight="1" x14ac:dyDescent="0.2">
      <c r="A59" s="19"/>
      <c r="B59" s="34"/>
      <c r="C59" s="19"/>
      <c r="D59" s="17"/>
      <c r="E59" s="16"/>
      <c r="F59" s="18"/>
      <c r="G59" s="266"/>
      <c r="H59" s="241"/>
      <c r="I59" s="266"/>
      <c r="J59" s="17"/>
      <c r="K59" s="266"/>
      <c r="L59" s="19"/>
      <c r="M59" s="19"/>
    </row>
    <row r="60" spans="1:16" s="4" customFormat="1" ht="12.75" x14ac:dyDescent="0.2">
      <c r="A60" s="19"/>
      <c r="B60" s="15" t="s">
        <v>1391</v>
      </c>
      <c r="C60" s="19"/>
      <c r="D60" s="17"/>
      <c r="E60" s="16"/>
      <c r="F60" s="18"/>
      <c r="G60" s="264"/>
      <c r="H60" s="241"/>
      <c r="I60" s="264"/>
      <c r="J60" s="17"/>
      <c r="K60" s="264"/>
      <c r="L60" s="19"/>
      <c r="M60" s="19"/>
    </row>
    <row r="61" spans="1:16" s="4" customFormat="1" ht="12.75" hidden="1" x14ac:dyDescent="0.2">
      <c r="A61" s="19"/>
      <c r="B61" s="32" t="s">
        <v>2441</v>
      </c>
      <c r="C61" s="19"/>
      <c r="D61" s="17"/>
      <c r="E61" s="16"/>
      <c r="F61" s="18"/>
      <c r="G61" s="264">
        <v>0</v>
      </c>
      <c r="H61" s="241"/>
      <c r="I61" s="264">
        <v>0</v>
      </c>
      <c r="J61" s="17"/>
      <c r="K61" s="264">
        <v>0</v>
      </c>
      <c r="L61" s="230">
        <v>637</v>
      </c>
      <c r="M61" s="230"/>
      <c r="N61" s="230">
        <v>880</v>
      </c>
    </row>
    <row r="62" spans="1:16" s="4" customFormat="1" ht="12.75" x14ac:dyDescent="0.2">
      <c r="A62" s="19"/>
      <c r="B62" s="32" t="s">
        <v>1392</v>
      </c>
      <c r="C62" s="19"/>
      <c r="D62" s="17"/>
      <c r="E62" s="16"/>
      <c r="F62" s="18"/>
      <c r="G62" s="273">
        <v>-19297191.960000075</v>
      </c>
      <c r="H62" s="241"/>
      <c r="I62" s="264">
        <v>-37163702.910000302</v>
      </c>
      <c r="J62" s="17"/>
      <c r="K62" s="264">
        <v>-31502573.620000362</v>
      </c>
      <c r="L62" s="166"/>
      <c r="M62" s="166"/>
      <c r="N62" s="36"/>
      <c r="P62" s="272"/>
    </row>
    <row r="63" spans="1:16" s="4" customFormat="1" ht="12.75" x14ac:dyDescent="0.2">
      <c r="A63" s="19"/>
      <c r="B63" s="32" t="s">
        <v>1393</v>
      </c>
      <c r="C63" s="19"/>
      <c r="D63" s="17"/>
      <c r="E63" s="16"/>
      <c r="F63" s="18"/>
      <c r="G63" s="264">
        <v>-724120.75</v>
      </c>
      <c r="H63" s="241"/>
      <c r="I63" s="264">
        <v>-1249020.319999997</v>
      </c>
      <c r="J63" s="17"/>
      <c r="K63" s="264">
        <v>273050.9299999997</v>
      </c>
      <c r="L63" s="53"/>
      <c r="M63" s="53"/>
      <c r="N63" s="36"/>
    </row>
    <row r="64" spans="1:16" s="4" customFormat="1" ht="12.75" x14ac:dyDescent="0.2">
      <c r="A64" s="19"/>
      <c r="B64" s="34" t="s">
        <v>1394</v>
      </c>
      <c r="C64" s="19"/>
      <c r="D64" s="17"/>
      <c r="E64" s="16"/>
      <c r="F64" s="18"/>
      <c r="G64" s="267">
        <v>-20021312.710000075</v>
      </c>
      <c r="H64" s="241"/>
      <c r="I64" s="267">
        <v>-38412723.230000302</v>
      </c>
      <c r="J64" s="17"/>
      <c r="K64" s="267">
        <v>-31229522.690000363</v>
      </c>
      <c r="L64" s="60"/>
      <c r="M64" s="60"/>
    </row>
    <row r="65" spans="1:13" s="4" customFormat="1" ht="3.95" customHeight="1" x14ac:dyDescent="0.2">
      <c r="A65" s="19"/>
      <c r="B65" s="32"/>
      <c r="C65" s="19"/>
      <c r="D65" s="17"/>
      <c r="E65" s="16"/>
      <c r="F65" s="18"/>
      <c r="G65" s="264"/>
      <c r="H65" s="241"/>
      <c r="I65" s="264"/>
      <c r="J65" s="17"/>
      <c r="K65" s="264"/>
      <c r="L65" s="19"/>
      <c r="M65" s="19"/>
    </row>
    <row r="66" spans="1:13" s="4" customFormat="1" ht="12.75" x14ac:dyDescent="0.2">
      <c r="A66" s="19"/>
      <c r="B66" s="34" t="s">
        <v>1395</v>
      </c>
      <c r="C66" s="19"/>
      <c r="D66" s="17"/>
      <c r="E66" s="16"/>
      <c r="F66" s="18"/>
      <c r="G66" s="268">
        <v>16715548.879999936</v>
      </c>
      <c r="H66" s="241"/>
      <c r="I66" s="268">
        <v>11092959.579999689</v>
      </c>
      <c r="J66" s="17"/>
      <c r="K66" s="268">
        <v>11574320.559999645</v>
      </c>
      <c r="L66" s="19"/>
      <c r="M66" s="19"/>
    </row>
    <row r="67" spans="1:13" s="4" customFormat="1" ht="12.75" x14ac:dyDescent="0.2">
      <c r="A67" s="19"/>
      <c r="B67" s="34" t="s">
        <v>2385</v>
      </c>
      <c r="C67" s="19"/>
      <c r="D67" s="17"/>
      <c r="E67" s="16"/>
      <c r="F67" s="18"/>
      <c r="G67" s="268">
        <v>111850277.41000004</v>
      </c>
      <c r="H67" s="241"/>
      <c r="I67" s="268">
        <v>100757317.83000036</v>
      </c>
      <c r="J67" s="17"/>
      <c r="K67" s="268">
        <v>100757317.83</v>
      </c>
      <c r="L67" s="19"/>
      <c r="M67" s="19"/>
    </row>
    <row r="68" spans="1:13" s="4" customFormat="1" ht="13.5" thickBot="1" x14ac:dyDescent="0.25">
      <c r="A68" s="19"/>
      <c r="B68" s="34" t="s">
        <v>2386</v>
      </c>
      <c r="C68" s="19"/>
      <c r="D68" s="17"/>
      <c r="E68" s="16"/>
      <c r="F68" s="18"/>
      <c r="G68" s="269">
        <v>128565826.28999998</v>
      </c>
      <c r="H68" s="241"/>
      <c r="I68" s="269">
        <v>111850277.41000004</v>
      </c>
      <c r="J68" s="17"/>
      <c r="K68" s="269">
        <v>112331638.38999964</v>
      </c>
      <c r="L68" s="31"/>
      <c r="M68" s="31"/>
    </row>
    <row r="69" spans="1:13" ht="15.75" thickTop="1" x14ac:dyDescent="0.25">
      <c r="A69" s="16"/>
      <c r="B69" s="16"/>
      <c r="C69" s="30"/>
      <c r="D69" s="30"/>
      <c r="E69" s="16"/>
      <c r="F69" s="31"/>
      <c r="G69" s="31"/>
      <c r="H69" s="31"/>
      <c r="I69" s="31"/>
      <c r="J69" s="31"/>
      <c r="K69" s="31"/>
      <c r="L69" s="54"/>
      <c r="M69" s="54"/>
    </row>
    <row r="70" spans="1:13" x14ac:dyDescent="0.25">
      <c r="A70" s="16"/>
      <c r="B70" s="16"/>
      <c r="C70" s="30"/>
      <c r="D70" s="30"/>
      <c r="E70" s="16"/>
      <c r="F70" s="31"/>
      <c r="G70" s="31"/>
      <c r="H70" s="31"/>
      <c r="I70" s="31"/>
      <c r="J70" s="31"/>
      <c r="K70" s="31"/>
      <c r="L70" s="54"/>
      <c r="M70" s="54"/>
    </row>
    <row r="71" spans="1:13" x14ac:dyDescent="0.25">
      <c r="A71" s="16"/>
      <c r="B71" s="16"/>
      <c r="C71" s="30"/>
      <c r="D71" s="30"/>
      <c r="E71" s="16"/>
      <c r="F71" s="31"/>
      <c r="G71" s="31"/>
      <c r="H71" s="31"/>
      <c r="I71" s="31"/>
      <c r="J71" s="31"/>
      <c r="K71" s="31"/>
      <c r="L71" s="16"/>
      <c r="M71" s="16"/>
    </row>
    <row r="72" spans="1:13" ht="12.95" hidden="1" customHeight="1" x14ac:dyDescent="0.25">
      <c r="A72" s="294" t="str">
        <f>BP!A50</f>
        <v>Dilermano Alves de Brito</v>
      </c>
      <c r="B72" s="294"/>
      <c r="C72" s="294"/>
      <c r="D72" s="294"/>
      <c r="E72" s="16"/>
      <c r="F72" s="16"/>
      <c r="G72" s="16"/>
      <c r="H72" s="16"/>
      <c r="I72" s="294" t="str">
        <f>BP!J50</f>
        <v>Glauber Ramos Oliveira de Assis</v>
      </c>
      <c r="J72" s="294"/>
      <c r="K72" s="294"/>
    </row>
    <row r="73" spans="1:13" ht="12.95" hidden="1" customHeight="1" x14ac:dyDescent="0.25">
      <c r="A73" s="294" t="str">
        <f>BP!A51</f>
        <v>CPF nº 027.282.864-50</v>
      </c>
      <c r="B73" s="294"/>
      <c r="C73" s="294"/>
      <c r="D73" s="294"/>
      <c r="E73" s="16"/>
      <c r="F73" s="16"/>
      <c r="G73" s="16"/>
      <c r="H73" s="16"/>
      <c r="I73" s="294" t="str">
        <f>BP!J51</f>
        <v>CPF nº 027.784.974-80</v>
      </c>
      <c r="J73" s="294"/>
      <c r="K73" s="294"/>
    </row>
    <row r="74" spans="1:13" ht="12.95" hidden="1" customHeight="1" x14ac:dyDescent="0.25">
      <c r="A74" s="294" t="str">
        <f>BP!A52</f>
        <v>Diretor Administrativo-Financeiro</v>
      </c>
      <c r="B74" s="294"/>
      <c r="C74" s="294"/>
      <c r="D74" s="294"/>
      <c r="E74" s="16"/>
      <c r="F74" s="16"/>
      <c r="G74" s="16"/>
      <c r="H74" s="16"/>
      <c r="I74" s="294" t="str">
        <f>BP!J52</f>
        <v>Contador CRC/PE 017099/O-9</v>
      </c>
      <c r="J74" s="294"/>
      <c r="K74" s="294"/>
    </row>
    <row r="75" spans="1:13" ht="12.95" hidden="1" customHeight="1" x14ac:dyDescent="0.25">
      <c r="C75"/>
      <c r="D75"/>
      <c r="E75" s="16"/>
      <c r="F75" s="31"/>
      <c r="G75" s="31"/>
      <c r="H75" s="31"/>
      <c r="I75" s="31"/>
      <c r="J75" s="31"/>
      <c r="K75" s="31"/>
    </row>
    <row r="76" spans="1:13" x14ac:dyDescent="0.25">
      <c r="C76"/>
      <c r="D76"/>
    </row>
    <row r="77" spans="1:13" x14ac:dyDescent="0.25">
      <c r="I77" s="2"/>
      <c r="K77" s="2"/>
    </row>
    <row r="78" spans="1:13" x14ac:dyDescent="0.25">
      <c r="I78" s="2"/>
      <c r="K78" s="2"/>
    </row>
  </sheetData>
  <mergeCells count="11">
    <mergeCell ref="I72:K72"/>
    <mergeCell ref="I73:K73"/>
    <mergeCell ref="I74:K74"/>
    <mergeCell ref="A3:K3"/>
    <mergeCell ref="A4:K4"/>
    <mergeCell ref="A6:K6"/>
    <mergeCell ref="A8:K8"/>
    <mergeCell ref="A7:K7"/>
    <mergeCell ref="A72:D72"/>
    <mergeCell ref="A73:D73"/>
    <mergeCell ref="A74:D74"/>
  </mergeCells>
  <printOptions horizontalCentered="1"/>
  <pageMargins left="0.31496062992125984" right="0.31496062992125984" top="1.5748031496062993" bottom="0.98425196850393704" header="0.31496062992125984" footer="0.11811023622047245"/>
  <pageSetup paperSize="9" scale="9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73"/>
  <sheetViews>
    <sheetView showGridLines="0" view="pageBreakPreview" zoomScale="140" zoomScaleNormal="100" zoomScaleSheetLayoutView="140" workbookViewId="0">
      <selection activeCell="E22" sqref="E22"/>
    </sheetView>
  </sheetViews>
  <sheetFormatPr defaultRowHeight="15" x14ac:dyDescent="0.25"/>
  <cols>
    <col min="1" max="1" width="1.7109375" customWidth="1"/>
    <col min="2" max="2" width="11.5703125" customWidth="1"/>
    <col min="3" max="3" width="11.5703125" style="2" customWidth="1"/>
    <col min="4" max="4" width="10.28515625" style="2" customWidth="1"/>
    <col min="5" max="5" width="9.7109375" style="2" customWidth="1"/>
    <col min="6" max="6" width="9.28515625" style="2" customWidth="1"/>
    <col min="7" max="7" width="6.7109375" style="1" customWidth="1"/>
    <col min="8" max="8" width="16.42578125" style="1" bestFit="1" customWidth="1"/>
    <col min="9" max="9" width="1.7109375" style="1" customWidth="1"/>
    <col min="10" max="10" width="16.42578125" style="1" bestFit="1" customWidth="1"/>
    <col min="11" max="11" width="1.7109375" style="1" customWidth="1"/>
    <col min="12" max="12" width="13.7109375" style="1" hidden="1" customWidth="1"/>
    <col min="13" max="13" width="1.140625" style="1" hidden="1" customWidth="1"/>
    <col min="14" max="14" width="12.7109375" style="1" hidden="1" customWidth="1"/>
    <col min="15" max="15" width="1.42578125" style="1" hidden="1" customWidth="1"/>
    <col min="16" max="16" width="13.140625" style="1" hidden="1" customWidth="1"/>
    <col min="17" max="17" width="1.7109375" style="1" hidden="1" customWidth="1"/>
    <col min="18" max="18" width="13.140625" style="1" hidden="1" customWidth="1"/>
    <col min="19" max="19" width="1.42578125" style="1" hidden="1" customWidth="1"/>
    <col min="20" max="20" width="13.140625" style="1" hidden="1" customWidth="1"/>
    <col min="21" max="21" width="1.42578125" style="1" hidden="1" customWidth="1"/>
    <col min="22" max="22" width="11.5703125" style="1" hidden="1" customWidth="1"/>
    <col min="23" max="23" width="1.7109375" style="1" hidden="1" customWidth="1"/>
    <col min="24" max="24" width="11.5703125" style="3" hidden="1" customWidth="1"/>
    <col min="25" max="25" width="1.7109375" style="1" hidden="1" customWidth="1"/>
    <col min="26" max="26" width="11.5703125" style="3" hidden="1" customWidth="1"/>
    <col min="27" max="27" width="13.42578125" hidden="1" customWidth="1"/>
    <col min="28" max="28" width="11.140625" bestFit="1" customWidth="1"/>
    <col min="29" max="29" width="12.28515625" hidden="1" customWidth="1"/>
    <col min="30" max="30" width="12.42578125" hidden="1" customWidth="1"/>
    <col min="31" max="31" width="10" hidden="1" customWidth="1"/>
    <col min="32" max="32" width="39.7109375" hidden="1" customWidth="1"/>
    <col min="33" max="33" width="12.28515625" hidden="1" customWidth="1"/>
    <col min="34" max="34" width="0" hidden="1" customWidth="1"/>
    <col min="35" max="35" width="38.28515625" hidden="1" customWidth="1"/>
    <col min="36" max="37" width="0" hidden="1" customWidth="1"/>
    <col min="38" max="38" width="11" bestFit="1" customWidth="1"/>
  </cols>
  <sheetData>
    <row r="1" spans="1:32" x14ac:dyDescent="0.25">
      <c r="A1" s="295" t="s">
        <v>1253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  <c r="Z1"/>
    </row>
    <row r="2" spans="1:32" x14ac:dyDescent="0.25">
      <c r="A2" s="295" t="s">
        <v>2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/>
    </row>
    <row r="3" spans="1:32" ht="8.1" customHeight="1" x14ac:dyDescent="0.25">
      <c r="A3" s="58"/>
      <c r="B3" s="58"/>
      <c r="C3" s="57"/>
      <c r="D3" s="57"/>
      <c r="E3" s="57"/>
      <c r="F3" s="57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</row>
    <row r="4" spans="1:32" x14ac:dyDescent="0.25">
      <c r="A4" s="295" t="s">
        <v>1396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/>
    </row>
    <row r="5" spans="1:32" x14ac:dyDescent="0.25">
      <c r="A5" s="297" t="str">
        <f>DRE!A5:J5</f>
        <v>DO PERÍODO FINDO EM 30 DE SETEMBRO DE 2019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/>
    </row>
    <row r="6" spans="1:32" x14ac:dyDescent="0.25">
      <c r="A6" s="296" t="s">
        <v>1255</v>
      </c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/>
    </row>
    <row r="7" spans="1:32" ht="6" customHeight="1" x14ac:dyDescent="0.25"/>
    <row r="8" spans="1:32" x14ac:dyDescent="0.25">
      <c r="H8" s="165">
        <v>43738</v>
      </c>
      <c r="J8" s="165">
        <v>43373</v>
      </c>
      <c r="L8" s="165">
        <f>DRA!K9</f>
        <v>43465</v>
      </c>
      <c r="N8" s="165">
        <f>DRA!M9</f>
        <v>43373</v>
      </c>
      <c r="P8" s="161" t="e">
        <f>DRA!O9</f>
        <v>#REF!</v>
      </c>
      <c r="R8" s="161" t="e">
        <f>DRA!Q9</f>
        <v>#REF!</v>
      </c>
      <c r="T8" s="161" t="e">
        <f>DRA!S9</f>
        <v>#REF!</v>
      </c>
      <c r="V8" s="161">
        <v>2013</v>
      </c>
      <c r="W8" s="150"/>
      <c r="X8" s="56" t="s">
        <v>1256</v>
      </c>
      <c r="Z8"/>
    </row>
    <row r="9" spans="1:32" ht="6" customHeight="1" x14ac:dyDescent="0.25">
      <c r="H9" s="150"/>
      <c r="J9" s="150"/>
      <c r="L9" s="150"/>
      <c r="N9" s="150"/>
      <c r="P9" s="150"/>
      <c r="R9" s="150"/>
      <c r="T9" s="115" t="s">
        <v>1258</v>
      </c>
      <c r="V9" s="150"/>
      <c r="W9" s="150"/>
      <c r="X9" s="116"/>
      <c r="Z9"/>
    </row>
    <row r="10" spans="1:32" s="4" customFormat="1" ht="12.75" customHeight="1" thickBot="1" x14ac:dyDescent="0.3">
      <c r="A10" s="19"/>
      <c r="B10" s="15" t="s">
        <v>1397</v>
      </c>
      <c r="C10" s="19"/>
      <c r="D10" s="17"/>
      <c r="E10" s="16"/>
      <c r="F10" s="16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/>
      <c r="AA10"/>
      <c r="AB10"/>
      <c r="AC10"/>
      <c r="AD10"/>
    </row>
    <row r="11" spans="1:32" s="4" customFormat="1" ht="12.75" customHeight="1" x14ac:dyDescent="0.25">
      <c r="A11" s="19"/>
      <c r="B11" s="32" t="s">
        <v>1311</v>
      </c>
      <c r="C11" s="19"/>
      <c r="D11" s="17"/>
      <c r="E11" s="16"/>
      <c r="F11" s="16"/>
      <c r="G11" s="18"/>
      <c r="H11" s="241">
        <v>172838632.63</v>
      </c>
      <c r="I11" s="241"/>
      <c r="J11" s="241">
        <v>155501340.06999999</v>
      </c>
      <c r="K11" s="18"/>
      <c r="L11" s="17" t="e">
        <f>-ROUND(SUMIFS(#REF!,#REF!,$B11,#REF!,$L$8)/_divisor,_decimos)</f>
        <v>#REF!</v>
      </c>
      <c r="M11" s="17"/>
      <c r="N11" s="17" t="e">
        <f>ROUND(-SUMIF(#REF!,$B11,#REF!)/_divisor,_decimos)</f>
        <v>#REF!</v>
      </c>
      <c r="O11" s="18"/>
      <c r="P11" s="17">
        <f>ROUND(-SUMIF(tbDez16[Agrupamento DVA],$B11,tbDez16[Saldo Final em Mil]),_decimos)</f>
        <v>0</v>
      </c>
      <c r="Q11" s="18"/>
      <c r="R11" s="17" t="e">
        <f>DRE!#REF!-ROUND(DSUM('Balancete Dez-2015'!$A$4:$L$1003,"SALDO",$AD$12:$AD$14)/1000,_decimos)</f>
        <v>#REF!</v>
      </c>
      <c r="S11" s="18"/>
      <c r="T11" s="17" t="e">
        <f>DRE!#REF!-ROUND(DSUM('Balancete Dez-2014'!$A$4:$L$1003,"SALDO",$AD$12:$AD$14)/1000,_decimos)</f>
        <v>#REF!</v>
      </c>
      <c r="U11" s="18"/>
      <c r="V11" s="17" t="e">
        <f>DRE!#REF!-ROUND(DSUM('Balancete Dez-2013'!$A$4:$L$1003,"SALDO",$AD$12:$AD$14)/1000,_decimos)</f>
        <v>#REF!</v>
      </c>
      <c r="W11" s="18"/>
      <c r="X11" s="17" t="e">
        <f>DRE!#REF!-ROUND(DSUM('Balancete Dez-2012'!$A$4:$L$1003,"SALDO",$AD$12:$AD$14)/1000,_decimos)</f>
        <v>#REF!</v>
      </c>
      <c r="Y11" s="18"/>
      <c r="Z11" s="14"/>
      <c r="AA11"/>
      <c r="AB11"/>
      <c r="AD11" s="104" t="s">
        <v>1398</v>
      </c>
      <c r="AE11" s="105"/>
      <c r="AF11" s="106"/>
    </row>
    <row r="12" spans="1:32" s="4" customFormat="1" ht="12.75" customHeight="1" x14ac:dyDescent="0.25">
      <c r="A12" s="19"/>
      <c r="B12" s="32" t="s">
        <v>952</v>
      </c>
      <c r="C12" s="19"/>
      <c r="D12" s="17"/>
      <c r="E12" s="16"/>
      <c r="F12" s="16"/>
      <c r="G12" s="18"/>
      <c r="H12" s="241">
        <v>247892.88</v>
      </c>
      <c r="I12" s="241"/>
      <c r="J12" s="241">
        <v>471000</v>
      </c>
      <c r="K12" s="18"/>
      <c r="L12" s="17" t="e">
        <f>-ROUND(SUMIFS(#REF!,#REF!,$B12,#REF!,$L$8)/_divisor,_decimos)</f>
        <v>#REF!</v>
      </c>
      <c r="M12" s="17"/>
      <c r="N12" s="17" t="e">
        <f>ROUND(-SUMIF(#REF!,$B12,#REF!)/_divisor,_decimos)</f>
        <v>#REF!</v>
      </c>
      <c r="O12" s="18"/>
      <c r="P12" s="17">
        <f>ROUND(-SUMIF(tbDez16[Agrupamento DVA],$B12,tbDez16[Saldo Final em Mil]),_decimos)</f>
        <v>0</v>
      </c>
      <c r="Q12" s="18"/>
      <c r="R12" s="17" t="e">
        <f>DRE!#REF!+DRE!#REF!</f>
        <v>#REF!</v>
      </c>
      <c r="S12" s="18"/>
      <c r="T12" s="17" t="e">
        <f>DRE!#REF!+DRE!#REF!</f>
        <v>#REF!</v>
      </c>
      <c r="U12" s="18"/>
      <c r="V12" s="17" t="e">
        <f>DRE!#REF!+DRE!#REF!</f>
        <v>#REF!</v>
      </c>
      <c r="W12" s="18"/>
      <c r="X12" s="17" t="e">
        <f>DRE!#REF!+DRE!#REF!</f>
        <v>#REF!</v>
      </c>
      <c r="Y12" s="18"/>
      <c r="Z12" s="14"/>
      <c r="AA12"/>
      <c r="AB12"/>
      <c r="AD12" s="107" t="s">
        <v>19</v>
      </c>
      <c r="AE12" t="s">
        <v>20</v>
      </c>
      <c r="AF12" s="108" t="s">
        <v>1399</v>
      </c>
    </row>
    <row r="13" spans="1:32" s="4" customFormat="1" ht="12.75" customHeight="1" x14ac:dyDescent="0.25">
      <c r="A13" s="19"/>
      <c r="B13" s="32"/>
      <c r="C13" s="19"/>
      <c r="D13" s="17"/>
      <c r="E13" s="16"/>
      <c r="F13" s="16"/>
      <c r="G13" s="18"/>
      <c r="H13" s="250">
        <v>173086525.50999999</v>
      </c>
      <c r="I13" s="241"/>
      <c r="J13" s="250">
        <v>155972340.06999999</v>
      </c>
      <c r="K13" s="18"/>
      <c r="L13" s="26" t="e">
        <f>SUM(L11:L12)</f>
        <v>#REF!</v>
      </c>
      <c r="M13" s="17"/>
      <c r="N13" s="26" t="e">
        <f>SUM(N11:N12)</f>
        <v>#REF!</v>
      </c>
      <c r="O13" s="18"/>
      <c r="P13" s="26">
        <f>SUM(P11:P12)</f>
        <v>0</v>
      </c>
      <c r="Q13" s="18"/>
      <c r="R13" s="26" t="e">
        <f>SUM(R11:R12)</f>
        <v>#REF!</v>
      </c>
      <c r="S13" s="18"/>
      <c r="T13" s="26" t="e">
        <f>SUM(T11:T12)</f>
        <v>#REF!</v>
      </c>
      <c r="U13" s="18"/>
      <c r="V13" s="26" t="e">
        <f>SUM(V11:V12)</f>
        <v>#REF!</v>
      </c>
      <c r="W13" s="18"/>
      <c r="X13" s="26" t="e">
        <f>SUM(X11:X12)</f>
        <v>#REF!</v>
      </c>
      <c r="Y13" s="18"/>
      <c r="Z13"/>
      <c r="AA13"/>
      <c r="AB13"/>
      <c r="AD13" s="107" t="s">
        <v>758</v>
      </c>
      <c r="AE13">
        <v>332</v>
      </c>
      <c r="AF13" s="108" t="s">
        <v>759</v>
      </c>
    </row>
    <row r="14" spans="1:32" s="4" customFormat="1" ht="6" customHeight="1" thickBot="1" x14ac:dyDescent="0.3">
      <c r="A14" s="19"/>
      <c r="B14" s="32"/>
      <c r="C14" s="19"/>
      <c r="D14" s="17"/>
      <c r="E14" s="16"/>
      <c r="F14" s="16"/>
      <c r="G14" s="18"/>
      <c r="H14" s="241"/>
      <c r="I14" s="241"/>
      <c r="J14" s="241"/>
      <c r="K14" s="18"/>
      <c r="L14" s="17"/>
      <c r="M14" s="17"/>
      <c r="N14" s="17"/>
      <c r="O14" s="18"/>
      <c r="P14" s="17"/>
      <c r="Q14" s="18"/>
      <c r="R14" s="17"/>
      <c r="S14" s="18"/>
      <c r="T14" s="17"/>
      <c r="U14" s="18"/>
      <c r="V14" s="17"/>
      <c r="W14" s="18"/>
      <c r="X14" s="17"/>
      <c r="Y14" s="18"/>
      <c r="Z14"/>
      <c r="AA14"/>
      <c r="AB14"/>
      <c r="AD14" s="109" t="s">
        <v>1062</v>
      </c>
      <c r="AE14" s="110">
        <v>547</v>
      </c>
      <c r="AF14" s="114" t="s">
        <v>1063</v>
      </c>
    </row>
    <row r="15" spans="1:32" s="4" customFormat="1" ht="12.75" customHeight="1" x14ac:dyDescent="0.25">
      <c r="A15" s="19"/>
      <c r="B15" s="15" t="s">
        <v>1400</v>
      </c>
      <c r="C15" s="19"/>
      <c r="D15" s="17"/>
      <c r="E15" s="16"/>
      <c r="F15" s="16"/>
      <c r="G15" s="18"/>
      <c r="H15" s="241"/>
      <c r="I15" s="241"/>
      <c r="J15" s="241"/>
      <c r="K15" s="18"/>
      <c r="L15" s="17"/>
      <c r="M15" s="17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/>
      <c r="AA15"/>
      <c r="AB15"/>
      <c r="AC15"/>
      <c r="AD15"/>
    </row>
    <row r="16" spans="1:32" s="4" customFormat="1" ht="12.75" customHeight="1" x14ac:dyDescent="0.25">
      <c r="A16" s="19"/>
      <c r="B16" s="32" t="s">
        <v>1401</v>
      </c>
      <c r="C16" s="19"/>
      <c r="D16" s="17"/>
      <c r="E16" s="16"/>
      <c r="F16" s="16"/>
      <c r="G16" s="18"/>
      <c r="H16" s="241">
        <v>-2527357.19</v>
      </c>
      <c r="I16" s="241"/>
      <c r="J16" s="241">
        <v>-2644049.83</v>
      </c>
      <c r="K16" s="18"/>
      <c r="L16" s="17" t="e">
        <f>-ROUND(SUMIFS(#REF!,#REF!,$B16,#REF!,$L$8)/_divisor,_decimos)</f>
        <v>#REF!</v>
      </c>
      <c r="M16" s="17"/>
      <c r="N16" s="17" t="e">
        <f>ROUND(-SUMIF(#REF!,$B16,#REF!)/_divisor,_decimos)</f>
        <v>#REF!</v>
      </c>
      <c r="O16" s="18"/>
      <c r="P16" s="17">
        <f>ROUND(-SUMIF(tbDez16[Agrupamento DVA],$B16,tbDez16[Saldo Final em Mil]),_decimos)</f>
        <v>0</v>
      </c>
      <c r="Q16" s="18"/>
      <c r="R16" s="17" t="e">
        <f>DRE!#REF!+DRE!#REF!</f>
        <v>#REF!</v>
      </c>
      <c r="S16" s="18"/>
      <c r="T16" s="17" t="e">
        <f>DRE!#REF!+DRE!#REF!</f>
        <v>#REF!</v>
      </c>
      <c r="U16" s="18"/>
      <c r="V16" s="17" t="e">
        <f>DRE!#REF!+DRE!#REF!</f>
        <v>#REF!</v>
      </c>
      <c r="W16" s="18"/>
      <c r="X16" s="17" t="e">
        <f>DRE!#REF!+DRE!#REF!</f>
        <v>#REF!</v>
      </c>
      <c r="Y16" s="18"/>
      <c r="Z16" s="14"/>
      <c r="AA16"/>
      <c r="AB16"/>
      <c r="AC16"/>
      <c r="AD16"/>
    </row>
    <row r="17" spans="1:35" s="4" customFormat="1" ht="12.75" customHeight="1" x14ac:dyDescent="0.25">
      <c r="A17" s="19"/>
      <c r="B17" s="32" t="s">
        <v>1317</v>
      </c>
      <c r="C17" s="19"/>
      <c r="D17" s="17"/>
      <c r="E17" s="16"/>
      <c r="F17" s="16"/>
      <c r="G17" s="18"/>
      <c r="H17" s="241">
        <v>-38995603.520000003</v>
      </c>
      <c r="I17" s="241"/>
      <c r="J17" s="241">
        <v>-26365050.079999998</v>
      </c>
      <c r="K17" s="18"/>
      <c r="L17" s="17" t="e">
        <f>-ROUND(SUMIFS(#REF!,#REF!,$B17,#REF!,$L$8)/_divisor,_decimos)</f>
        <v>#REF!</v>
      </c>
      <c r="M17" s="17"/>
      <c r="N17" s="17" t="e">
        <f>ROUND(-SUMIF(#REF!,$B17,#REF!)/_divisor,_decimos)</f>
        <v>#REF!</v>
      </c>
      <c r="O17" s="18"/>
      <c r="P17" s="17">
        <f>ROUND(-SUMIF(tbDez16[Agrupamento DVA],$B17,tbDez16[Saldo Final em Mil]),_decimos)</f>
        <v>0</v>
      </c>
      <c r="Q17" s="18"/>
      <c r="R17" s="17" t="e">
        <f>DRE!#REF!</f>
        <v>#REF!</v>
      </c>
      <c r="S17" s="18"/>
      <c r="T17" s="17" t="e">
        <f>DRE!#REF!</f>
        <v>#REF!</v>
      </c>
      <c r="U17" s="18"/>
      <c r="V17" s="17" t="e">
        <f>DRE!#REF!</f>
        <v>#REF!</v>
      </c>
      <c r="W17" s="18"/>
      <c r="X17" s="17" t="e">
        <f>DRE!#REF!</f>
        <v>#REF!</v>
      </c>
      <c r="Y17" s="18"/>
      <c r="Z17" s="14"/>
      <c r="AA17"/>
      <c r="AB17"/>
      <c r="AC17"/>
      <c r="AD17"/>
    </row>
    <row r="18" spans="1:35" s="4" customFormat="1" ht="12.75" customHeight="1" x14ac:dyDescent="0.25">
      <c r="A18" s="19"/>
      <c r="B18" s="32"/>
      <c r="C18" s="19"/>
      <c r="D18" s="17"/>
      <c r="E18" s="16"/>
      <c r="F18" s="16"/>
      <c r="G18" s="18"/>
      <c r="H18" s="250">
        <v>-41522960.710000001</v>
      </c>
      <c r="I18" s="241"/>
      <c r="J18" s="250">
        <v>-29009099.909999996</v>
      </c>
      <c r="K18" s="18"/>
      <c r="L18" s="26" t="e">
        <f>SUM(L16:L17)</f>
        <v>#REF!</v>
      </c>
      <c r="M18" s="17"/>
      <c r="N18" s="26" t="e">
        <f>SUM(N16:N17)</f>
        <v>#REF!</v>
      </c>
      <c r="O18" s="18"/>
      <c r="P18" s="26">
        <f>SUM(P16:P17)</f>
        <v>0</v>
      </c>
      <c r="Q18" s="18"/>
      <c r="R18" s="26" t="e">
        <f>SUM(R16:R17)</f>
        <v>#REF!</v>
      </c>
      <c r="S18" s="18"/>
      <c r="T18" s="26" t="e">
        <f>SUM(T16:T17)</f>
        <v>#REF!</v>
      </c>
      <c r="U18" s="18"/>
      <c r="V18" s="26" t="e">
        <f>SUM(V16:V17)</f>
        <v>#REF!</v>
      </c>
      <c r="W18" s="18"/>
      <c r="X18" s="26" t="e">
        <f>SUM(X16:X17)</f>
        <v>#REF!</v>
      </c>
      <c r="Y18" s="18"/>
      <c r="Z18"/>
      <c r="AA18"/>
      <c r="AB18"/>
      <c r="AC18"/>
      <c r="AD18"/>
    </row>
    <row r="19" spans="1:35" s="4" customFormat="1" ht="6" customHeight="1" x14ac:dyDescent="0.25">
      <c r="A19" s="19"/>
      <c r="B19" s="32"/>
      <c r="C19" s="19"/>
      <c r="D19" s="17"/>
      <c r="E19" s="16"/>
      <c r="F19" s="16"/>
      <c r="G19" s="18"/>
      <c r="H19" s="241"/>
      <c r="I19" s="241"/>
      <c r="J19" s="241"/>
      <c r="K19" s="18"/>
      <c r="L19" s="17"/>
      <c r="M19" s="17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/>
      <c r="AA19"/>
      <c r="AB19"/>
      <c r="AC19"/>
      <c r="AD19"/>
    </row>
    <row r="20" spans="1:35" s="4" customFormat="1" ht="12.75" customHeight="1" x14ac:dyDescent="0.25">
      <c r="A20" s="19"/>
      <c r="B20" s="15" t="s">
        <v>1402</v>
      </c>
      <c r="C20" s="19"/>
      <c r="D20" s="17"/>
      <c r="E20" s="16"/>
      <c r="F20" s="16"/>
      <c r="G20" s="18"/>
      <c r="H20" s="251">
        <v>131563564.79999998</v>
      </c>
      <c r="I20" s="241"/>
      <c r="J20" s="251">
        <v>126963240.16</v>
      </c>
      <c r="K20" s="18"/>
      <c r="L20" s="23" t="e">
        <f>L13+L18</f>
        <v>#REF!</v>
      </c>
      <c r="M20" s="17"/>
      <c r="N20" s="23" t="e">
        <f>N13+N18</f>
        <v>#REF!</v>
      </c>
      <c r="O20" s="18"/>
      <c r="P20" s="23">
        <f>P13+P18</f>
        <v>0</v>
      </c>
      <c r="Q20" s="18"/>
      <c r="R20" s="23" t="e">
        <f>R13+R18</f>
        <v>#REF!</v>
      </c>
      <c r="S20" s="18"/>
      <c r="T20" s="23" t="e">
        <f>T13+T18</f>
        <v>#REF!</v>
      </c>
      <c r="U20" s="18"/>
      <c r="V20" s="23" t="e">
        <f>V13+V18</f>
        <v>#REF!</v>
      </c>
      <c r="W20" s="18"/>
      <c r="X20" s="23" t="e">
        <f>X13+X18</f>
        <v>#REF!</v>
      </c>
      <c r="Y20" s="18"/>
      <c r="Z20"/>
      <c r="AA20"/>
      <c r="AB20"/>
      <c r="AC20"/>
      <c r="AD20"/>
    </row>
    <row r="21" spans="1:35" s="4" customFormat="1" ht="6" customHeight="1" x14ac:dyDescent="0.25">
      <c r="A21" s="19"/>
      <c r="B21" s="32"/>
      <c r="C21" s="19"/>
      <c r="D21" s="17"/>
      <c r="E21" s="16"/>
      <c r="F21" s="16"/>
      <c r="G21" s="18"/>
      <c r="H21" s="241"/>
      <c r="I21" s="241"/>
      <c r="J21" s="241"/>
      <c r="K21" s="18"/>
      <c r="L21" s="17"/>
      <c r="M21" s="17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/>
      <c r="AA21"/>
      <c r="AB21"/>
      <c r="AC21"/>
      <c r="AD21"/>
    </row>
    <row r="22" spans="1:35" s="4" customFormat="1" ht="12.75" customHeight="1" x14ac:dyDescent="0.25">
      <c r="A22" s="19"/>
      <c r="B22" s="32" t="s">
        <v>1319</v>
      </c>
      <c r="C22" s="19"/>
      <c r="D22" s="17"/>
      <c r="E22" s="16"/>
      <c r="F22" s="16"/>
      <c r="G22" s="18"/>
      <c r="H22" s="246">
        <v>-10987435.93</v>
      </c>
      <c r="I22" s="241"/>
      <c r="J22" s="246">
        <v>-12689359.33</v>
      </c>
      <c r="K22" s="18"/>
      <c r="L22" s="33" t="e">
        <f>-ROUND(SUMIFS(#REF!,#REF!,$B22,#REF!,$L$8)/_divisor,_decimos)</f>
        <v>#REF!</v>
      </c>
      <c r="M22" s="17"/>
      <c r="N22" s="33" t="e">
        <f>ROUND(-SUMIF(#REF!,$B22,#REF!)/_divisor,_decimos)</f>
        <v>#REF!</v>
      </c>
      <c r="O22" s="18"/>
      <c r="P22" s="33">
        <f>ROUND(-SUMIF(tbDez16[Agrupamento DVA],$B22,tbDez16[Saldo Final em Mil]),_decimos)</f>
        <v>0</v>
      </c>
      <c r="Q22" s="18"/>
      <c r="R22" s="33" t="e">
        <f>DRE!#REF!</f>
        <v>#REF!</v>
      </c>
      <c r="S22" s="18"/>
      <c r="T22" s="33" t="e">
        <f>DRE!#REF!</f>
        <v>#REF!</v>
      </c>
      <c r="U22" s="18"/>
      <c r="V22" s="33" t="e">
        <f>DRE!#REF!</f>
        <v>#REF!</v>
      </c>
      <c r="W22" s="18"/>
      <c r="X22" s="33" t="e">
        <f>DRE!#REF!</f>
        <v>#REF!</v>
      </c>
      <c r="Y22" s="18"/>
      <c r="Z22" s="14"/>
      <c r="AA22"/>
      <c r="AB22"/>
      <c r="AC22"/>
      <c r="AD22"/>
    </row>
    <row r="23" spans="1:35" s="4" customFormat="1" ht="6" customHeight="1" x14ac:dyDescent="0.25">
      <c r="A23" s="19"/>
      <c r="B23" s="32"/>
      <c r="C23" s="19"/>
      <c r="D23" s="17"/>
      <c r="E23" s="16"/>
      <c r="F23" s="16"/>
      <c r="G23" s="18"/>
      <c r="H23" s="241"/>
      <c r="I23" s="241"/>
      <c r="J23" s="241"/>
      <c r="K23" s="18"/>
      <c r="L23" s="17"/>
      <c r="M23" s="17"/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/>
      <c r="AA23"/>
      <c r="AB23"/>
      <c r="AC23"/>
      <c r="AD23"/>
    </row>
    <row r="24" spans="1:35" s="4" customFormat="1" ht="12.75" customHeight="1" x14ac:dyDescent="0.25">
      <c r="A24" s="19"/>
      <c r="B24" s="15" t="s">
        <v>1403</v>
      </c>
      <c r="C24" s="19"/>
      <c r="D24" s="17"/>
      <c r="E24" s="16"/>
      <c r="F24" s="16"/>
      <c r="G24" s="18"/>
      <c r="H24" s="251">
        <v>120576128.86999997</v>
      </c>
      <c r="I24" s="241"/>
      <c r="J24" s="251">
        <v>114273880.83</v>
      </c>
      <c r="K24" s="18"/>
      <c r="L24" s="23" t="e">
        <f>L20+L22</f>
        <v>#REF!</v>
      </c>
      <c r="M24" s="17"/>
      <c r="N24" s="23" t="e">
        <f>N20+N22</f>
        <v>#REF!</v>
      </c>
      <c r="O24" s="18"/>
      <c r="P24" s="23">
        <f>P20+P22</f>
        <v>0</v>
      </c>
      <c r="Q24" s="18"/>
      <c r="R24" s="23" t="e">
        <f>R20+R22</f>
        <v>#REF!</v>
      </c>
      <c r="S24" s="18"/>
      <c r="T24" s="23" t="e">
        <f>T20+T22</f>
        <v>#REF!</v>
      </c>
      <c r="U24" s="18"/>
      <c r="V24" s="23" t="e">
        <f>V20+V22</f>
        <v>#REF!</v>
      </c>
      <c r="W24" s="18"/>
      <c r="X24" s="23" t="e">
        <f>X20+X22</f>
        <v>#REF!</v>
      </c>
      <c r="Y24" s="18"/>
      <c r="Z24"/>
      <c r="AA24"/>
      <c r="AB24"/>
      <c r="AC24"/>
      <c r="AD24"/>
    </row>
    <row r="25" spans="1:35" s="4" customFormat="1" ht="6" customHeight="1" x14ac:dyDescent="0.25">
      <c r="A25" s="19"/>
      <c r="B25" s="32"/>
      <c r="C25" s="19"/>
      <c r="D25" s="17"/>
      <c r="E25" s="16"/>
      <c r="F25" s="16"/>
      <c r="G25" s="18"/>
      <c r="H25" s="241"/>
      <c r="I25" s="241"/>
      <c r="J25" s="241"/>
      <c r="K25" s="18"/>
      <c r="L25" s="17"/>
      <c r="M25" s="17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/>
      <c r="AA25"/>
      <c r="AB25"/>
      <c r="AC25"/>
      <c r="AD25"/>
    </row>
    <row r="26" spans="1:35" s="4" customFormat="1" ht="12.75" customHeight="1" x14ac:dyDescent="0.25">
      <c r="A26" s="19"/>
      <c r="B26" s="15" t="s">
        <v>1404</v>
      </c>
      <c r="C26" s="19"/>
      <c r="D26" s="17"/>
      <c r="E26" s="16"/>
      <c r="F26" s="16"/>
      <c r="G26" s="18"/>
      <c r="H26" s="241"/>
      <c r="I26" s="241"/>
      <c r="J26" s="241"/>
      <c r="K26" s="18"/>
      <c r="L26" s="17"/>
      <c r="M26" s="17"/>
      <c r="N26" s="17"/>
      <c r="O26" s="18"/>
      <c r="P26" s="17"/>
      <c r="Q26" s="18"/>
      <c r="R26" s="17"/>
      <c r="S26" s="18"/>
      <c r="T26" s="17"/>
      <c r="U26" s="18"/>
      <c r="V26" s="17"/>
      <c r="W26" s="18"/>
      <c r="X26" s="17"/>
      <c r="Y26" s="18"/>
      <c r="Z26"/>
      <c r="AA26"/>
      <c r="AB26"/>
      <c r="AC26"/>
      <c r="AD26"/>
    </row>
    <row r="27" spans="1:35" s="4" customFormat="1" ht="12.75" customHeight="1" x14ac:dyDescent="0.25">
      <c r="A27" s="19"/>
      <c r="B27" s="32" t="s">
        <v>1326</v>
      </c>
      <c r="C27" s="19"/>
      <c r="D27" s="17"/>
      <c r="E27" s="16"/>
      <c r="F27" s="16"/>
      <c r="G27" s="47"/>
      <c r="H27" s="246">
        <v>3658194.09</v>
      </c>
      <c r="I27" s="251"/>
      <c r="J27" s="246">
        <v>3058167.91</v>
      </c>
      <c r="K27" s="47"/>
      <c r="L27" s="33" t="e">
        <f>-ROUND(SUMIFS(#REF!,#REF!,$B27,#REF!,$L$8)/_divisor,_decimos)</f>
        <v>#REF!</v>
      </c>
      <c r="M27" s="23"/>
      <c r="N27" s="33" t="e">
        <f>ROUND(-SUMIF(#REF!,$B27,#REF!)/_divisor,_decimos)</f>
        <v>#REF!</v>
      </c>
      <c r="O27" s="47"/>
      <c r="P27" s="33">
        <f>ROUND(-SUMIF(tbDez16[Agrupamento DVA],$B27,tbDez16[Saldo Final em Mil]),_decimos)</f>
        <v>0</v>
      </c>
      <c r="Q27" s="47"/>
      <c r="R27" s="33" t="e">
        <f>DRE!#REF!</f>
        <v>#REF!</v>
      </c>
      <c r="S27" s="47"/>
      <c r="T27" s="33" t="e">
        <f>DRE!#REF!</f>
        <v>#REF!</v>
      </c>
      <c r="U27" s="47"/>
      <c r="V27" s="33" t="e">
        <f>DRE!#REF!</f>
        <v>#REF!</v>
      </c>
      <c r="W27" s="47"/>
      <c r="X27" s="33" t="e">
        <f>DRE!#REF!</f>
        <v>#REF!</v>
      </c>
      <c r="Y27" s="18"/>
      <c r="Z27" s="14"/>
      <c r="AA27"/>
      <c r="AB27"/>
      <c r="AC27"/>
      <c r="AD27"/>
    </row>
    <row r="28" spans="1:35" s="4" customFormat="1" ht="6" customHeight="1" x14ac:dyDescent="0.25">
      <c r="A28" s="19"/>
      <c r="B28" s="21"/>
      <c r="C28" s="19"/>
      <c r="D28" s="17"/>
      <c r="E28" s="16"/>
      <c r="F28" s="16"/>
      <c r="G28" s="47"/>
      <c r="H28" s="241"/>
      <c r="I28" s="251"/>
      <c r="J28" s="241"/>
      <c r="K28" s="47"/>
      <c r="L28" s="17"/>
      <c r="M28" s="23"/>
      <c r="N28" s="17"/>
      <c r="O28" s="47"/>
      <c r="P28" s="17"/>
      <c r="Q28" s="47"/>
      <c r="R28" s="17"/>
      <c r="S28" s="47"/>
      <c r="T28" s="17"/>
      <c r="U28" s="47"/>
      <c r="V28" s="17"/>
      <c r="W28" s="47"/>
      <c r="X28" s="17"/>
      <c r="Y28" s="18"/>
      <c r="Z28"/>
      <c r="AA28"/>
      <c r="AB28"/>
      <c r="AC28"/>
      <c r="AD28"/>
    </row>
    <row r="29" spans="1:35" s="4" customFormat="1" ht="12.75" customHeight="1" thickBot="1" x14ac:dyDescent="0.3">
      <c r="A29" s="19"/>
      <c r="B29" s="15" t="s">
        <v>1405</v>
      </c>
      <c r="C29" s="19"/>
      <c r="D29" s="17"/>
      <c r="E29" s="16"/>
      <c r="F29" s="16"/>
      <c r="G29" s="18"/>
      <c r="H29" s="245">
        <v>124234322.95999998</v>
      </c>
      <c r="I29" s="241"/>
      <c r="J29" s="245">
        <v>117332048.73999999</v>
      </c>
      <c r="K29" s="18"/>
      <c r="L29" s="28" t="e">
        <f>L24+L27</f>
        <v>#REF!</v>
      </c>
      <c r="M29" s="17"/>
      <c r="N29" s="28" t="e">
        <f>N24+N27</f>
        <v>#REF!</v>
      </c>
      <c r="O29" s="18"/>
      <c r="P29" s="28">
        <f>P24+P27</f>
        <v>0</v>
      </c>
      <c r="Q29" s="18"/>
      <c r="R29" s="28" t="e">
        <f>R24+R27</f>
        <v>#REF!</v>
      </c>
      <c r="S29" s="18"/>
      <c r="T29" s="28" t="e">
        <f>T24+T27</f>
        <v>#REF!</v>
      </c>
      <c r="U29" s="18"/>
      <c r="V29" s="28" t="e">
        <f>V24+V27</f>
        <v>#REF!</v>
      </c>
      <c r="W29" s="18"/>
      <c r="X29" s="28" t="e">
        <f>X24+X27</f>
        <v>#REF!</v>
      </c>
      <c r="Y29" s="18"/>
      <c r="Z29"/>
      <c r="AA29"/>
      <c r="AB29"/>
      <c r="AC29"/>
      <c r="AD29"/>
    </row>
    <row r="30" spans="1:35" s="4" customFormat="1" ht="12.75" customHeight="1" thickTop="1" x14ac:dyDescent="0.25">
      <c r="A30" s="19"/>
      <c r="B30" s="21"/>
      <c r="C30" s="19"/>
      <c r="D30" s="17"/>
      <c r="E30" s="16"/>
      <c r="F30" s="16"/>
      <c r="G30" s="18"/>
      <c r="H30" s="241"/>
      <c r="I30" s="241"/>
      <c r="J30" s="241"/>
      <c r="K30" s="18"/>
      <c r="L30" s="17"/>
      <c r="M30" s="17"/>
      <c r="N30" s="17"/>
      <c r="O30" s="18"/>
      <c r="P30" s="17"/>
      <c r="Q30" s="18"/>
      <c r="R30" s="17"/>
      <c r="S30" s="18"/>
      <c r="T30" s="17"/>
      <c r="U30" s="18"/>
      <c r="V30" s="17"/>
      <c r="W30" s="18"/>
      <c r="X30" s="17"/>
      <c r="Y30" s="18"/>
      <c r="Z30"/>
      <c r="AA30"/>
      <c r="AB30"/>
      <c r="AC30"/>
      <c r="AD30"/>
    </row>
    <row r="31" spans="1:35" s="4" customFormat="1" ht="8.25" customHeight="1" thickBot="1" x14ac:dyDescent="0.3">
      <c r="A31" s="19"/>
      <c r="B31" s="21"/>
      <c r="C31" s="19"/>
      <c r="D31" s="17"/>
      <c r="E31" s="16"/>
      <c r="F31" s="16"/>
      <c r="G31" s="18"/>
      <c r="H31" s="241"/>
      <c r="I31" s="241"/>
      <c r="J31" s="241"/>
      <c r="K31" s="18"/>
      <c r="L31" s="17"/>
      <c r="M31" s="17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/>
      <c r="AA31"/>
      <c r="AB31"/>
      <c r="AC31"/>
      <c r="AD31"/>
    </row>
    <row r="32" spans="1:35" s="4" customFormat="1" ht="12.75" customHeight="1" x14ac:dyDescent="0.25">
      <c r="A32" s="19"/>
      <c r="B32" s="15" t="s">
        <v>1406</v>
      </c>
      <c r="C32" s="19"/>
      <c r="D32" s="17"/>
      <c r="E32" s="16"/>
      <c r="F32" s="16"/>
      <c r="G32" s="18"/>
      <c r="H32" s="241"/>
      <c r="I32" s="241"/>
      <c r="J32" s="241"/>
      <c r="K32" s="18"/>
      <c r="L32" s="17"/>
      <c r="M32" s="17"/>
      <c r="N32" s="17"/>
      <c r="O32" s="18"/>
      <c r="P32" s="17"/>
      <c r="Q32" s="18"/>
      <c r="R32" s="17"/>
      <c r="S32" s="18"/>
      <c r="T32" s="17"/>
      <c r="U32" s="18"/>
      <c r="V32" s="17"/>
      <c r="W32" s="18"/>
      <c r="X32" s="17"/>
      <c r="Y32" s="18"/>
      <c r="Z32"/>
      <c r="AA32"/>
      <c r="AB32"/>
      <c r="AC32"/>
      <c r="AD32" s="104" t="s">
        <v>1398</v>
      </c>
      <c r="AE32" s="105"/>
      <c r="AF32" s="106"/>
      <c r="AG32" s="104" t="s">
        <v>1117</v>
      </c>
      <c r="AH32" s="105"/>
      <c r="AI32" s="106"/>
    </row>
    <row r="33" spans="1:35" s="4" customFormat="1" ht="6" customHeight="1" x14ac:dyDescent="0.25">
      <c r="A33" s="19"/>
      <c r="B33" s="21"/>
      <c r="C33" s="19"/>
      <c r="D33" s="17"/>
      <c r="E33" s="16"/>
      <c r="F33" s="16"/>
      <c r="G33" s="18"/>
      <c r="H33" s="241"/>
      <c r="I33" s="241"/>
      <c r="J33" s="241"/>
      <c r="K33" s="18"/>
      <c r="L33" s="17"/>
      <c r="M33" s="17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/>
      <c r="AA33"/>
      <c r="AB33"/>
      <c r="AC33"/>
      <c r="AD33" s="107" t="s">
        <v>19</v>
      </c>
      <c r="AE33" t="s">
        <v>20</v>
      </c>
      <c r="AF33" s="108" t="s">
        <v>1399</v>
      </c>
      <c r="AG33" s="107" t="s">
        <v>19</v>
      </c>
      <c r="AH33" t="s">
        <v>20</v>
      </c>
      <c r="AI33" s="108" t="s">
        <v>1399</v>
      </c>
    </row>
    <row r="34" spans="1:35" s="4" customFormat="1" ht="12.75" customHeight="1" x14ac:dyDescent="0.25">
      <c r="A34" s="19"/>
      <c r="B34" s="20" t="s">
        <v>1315</v>
      </c>
      <c r="C34" s="19"/>
      <c r="D34" s="17"/>
      <c r="E34" s="16"/>
      <c r="F34" s="16"/>
      <c r="G34" s="18"/>
      <c r="H34" s="241"/>
      <c r="I34" s="241"/>
      <c r="J34" s="241"/>
      <c r="K34" s="18"/>
      <c r="L34" s="17"/>
      <c r="M34" s="17"/>
      <c r="N34" s="17"/>
      <c r="O34" s="18"/>
      <c r="P34" s="17"/>
      <c r="Q34" s="18"/>
      <c r="R34" s="17"/>
      <c r="S34" s="18"/>
      <c r="T34" s="17"/>
      <c r="U34" s="18"/>
      <c r="V34" s="17"/>
      <c r="W34" s="18"/>
      <c r="X34" s="17"/>
      <c r="Y34" s="18"/>
      <c r="Z34"/>
      <c r="AA34"/>
      <c r="AB34"/>
      <c r="AC34"/>
      <c r="AD34" s="107" t="s">
        <v>766</v>
      </c>
      <c r="AE34">
        <v>212</v>
      </c>
      <c r="AF34" s="108" t="s">
        <v>767</v>
      </c>
      <c r="AG34" s="107" t="s">
        <v>1407</v>
      </c>
      <c r="AH34">
        <v>220</v>
      </c>
      <c r="AI34" s="108" t="s">
        <v>785</v>
      </c>
    </row>
    <row r="35" spans="1:35" s="4" customFormat="1" ht="12.75" customHeight="1" thickBot="1" x14ac:dyDescent="0.3">
      <c r="A35" s="19"/>
      <c r="B35" s="21" t="s">
        <v>1398</v>
      </c>
      <c r="C35" s="19"/>
      <c r="D35" s="17"/>
      <c r="E35" s="16"/>
      <c r="F35" s="16"/>
      <c r="G35" s="18"/>
      <c r="H35" s="241">
        <v>32173039.469999999</v>
      </c>
      <c r="I35" s="241"/>
      <c r="J35" s="241">
        <v>25854423.629999999</v>
      </c>
      <c r="K35" s="18"/>
      <c r="L35" s="17" t="e">
        <f>ROUND(SUMIFS(#REF!,#REF!,$B35,#REF!,$L$8)/_divisor,_decimos)</f>
        <v>#REF!</v>
      </c>
      <c r="M35" s="17"/>
      <c r="N35" s="17" t="e">
        <f>-ROUND(-SUMIF(#REF!,$B35,#REF!)/_divisor,_decimos)</f>
        <v>#REF!</v>
      </c>
      <c r="O35" s="18"/>
      <c r="P35" s="17">
        <f>ROUND(SUMIF(tbDez16[Agrupamento DVA],$B35,tbDez16[Saldo Final em Mil]),_decimos)</f>
        <v>0</v>
      </c>
      <c r="Q35" s="18"/>
      <c r="R35" s="17">
        <f>ROUND(DSUM('Balancete Dez-2015'!$A$4:$L$1003,"SALDO",$AD$33:$AD$56)/1000,_decimos)+1</f>
        <v>30184.560000000001</v>
      </c>
      <c r="S35" s="18"/>
      <c r="T35" s="17">
        <f>ROUND(DSUM('Balancete Dez-2014'!$A$4:$L$1003,"SALDO",$AD$33:$AD$56)/1000,_decimos)</f>
        <v>28780.5</v>
      </c>
      <c r="U35" s="18"/>
      <c r="V35" s="17">
        <f>ROUND(DSUM('Balancete Dez-2013'!$A$4:$L$1003,"SALDO",$AD$33:$AD$56)/1000,_decimos)</f>
        <v>24157.49</v>
      </c>
      <c r="W35" s="18"/>
      <c r="X35" s="17">
        <f>ROUND(DSUM('Balancete Dez-2012'!$A$4:$L$1003,"SALDO",$AD$33:$AD$56)/1000,_decimos)</f>
        <v>18292.39</v>
      </c>
      <c r="Y35" s="18"/>
      <c r="Z35" s="14"/>
      <c r="AA35"/>
      <c r="AB35"/>
      <c r="AD35" s="107" t="s">
        <v>1408</v>
      </c>
      <c r="AE35">
        <v>215</v>
      </c>
      <c r="AF35" s="108" t="s">
        <v>777</v>
      </c>
      <c r="AG35" s="109" t="s">
        <v>784</v>
      </c>
      <c r="AH35" s="110">
        <v>229</v>
      </c>
      <c r="AI35" s="111" t="s">
        <v>785</v>
      </c>
    </row>
    <row r="36" spans="1:35" s="4" customFormat="1" ht="12.75" customHeight="1" thickBot="1" x14ac:dyDescent="0.3">
      <c r="A36" s="19"/>
      <c r="B36" s="21" t="s">
        <v>1409</v>
      </c>
      <c r="C36" s="19"/>
      <c r="D36" s="17"/>
      <c r="E36" s="16"/>
      <c r="F36" s="16"/>
      <c r="G36" s="18"/>
      <c r="H36" s="241">
        <v>5380241.1299999999</v>
      </c>
      <c r="I36" s="241"/>
      <c r="J36" s="241">
        <v>3427428.43</v>
      </c>
      <c r="K36" s="18"/>
      <c r="L36" s="17" t="e">
        <f>ROUND(SUMIFS(#REF!,#REF!,$B36,#REF!,$L$8)/_divisor,_decimos)</f>
        <v>#REF!</v>
      </c>
      <c r="M36" s="17"/>
      <c r="N36" s="17" t="e">
        <f>-ROUND(-SUMIF(#REF!,$B36,#REF!)/_divisor,_decimos)</f>
        <v>#REF!</v>
      </c>
      <c r="O36" s="18"/>
      <c r="P36" s="17">
        <f>ROUND(SUMIF(tbDez16[Agrupamento DVA],$B36,tbDez16[Saldo Final em Mil]),_decimos)</f>
        <v>0</v>
      </c>
      <c r="Q36" s="18"/>
      <c r="R36" s="17">
        <f>ROUND(DSUM('Balancete Dez-2015'!$A$4:$L$1003,"SALDO",$AG$38:$AI$47)/1000,_decimos)</f>
        <v>3978.01</v>
      </c>
      <c r="S36" s="18"/>
      <c r="T36" s="17">
        <f>ROUND(DSUM('Balancete Dez-2014'!$A$4:$L$1003,"SALDO",$AG$38:$AI$47)/1000,_decimos)</f>
        <v>3443.61</v>
      </c>
      <c r="U36" s="18"/>
      <c r="V36" s="17">
        <f>ROUND(DSUM('Balancete Dez-2013'!$A$4:$L$1003,"SALDO",$AG$38:$AI$47)/1000,_decimos)</f>
        <v>2975.49</v>
      </c>
      <c r="W36" s="18"/>
      <c r="X36" s="17">
        <f>ROUND(DSUM('Balancete Dez-2012'!$A$4:$L$1003,"SALDO",$AG$38:$AI$47)/1000,_decimos)</f>
        <v>2054.5700000000002</v>
      </c>
      <c r="Y36" s="18"/>
      <c r="Z36" s="14"/>
      <c r="AA36"/>
      <c r="AB36"/>
      <c r="AD36" s="107" t="s">
        <v>1410</v>
      </c>
      <c r="AE36">
        <v>216</v>
      </c>
      <c r="AF36" s="108" t="s">
        <v>249</v>
      </c>
    </row>
    <row r="37" spans="1:35" s="4" customFormat="1" ht="12.75" customHeight="1" x14ac:dyDescent="0.25">
      <c r="A37" s="19"/>
      <c r="B37" s="21" t="s">
        <v>1117</v>
      </c>
      <c r="C37" s="19"/>
      <c r="D37" s="17"/>
      <c r="E37" s="16"/>
      <c r="F37" s="16"/>
      <c r="G37" s="18"/>
      <c r="H37" s="241">
        <v>1911425.89</v>
      </c>
      <c r="I37" s="241"/>
      <c r="J37" s="241">
        <v>1924360.28</v>
      </c>
      <c r="K37" s="18"/>
      <c r="L37" s="17" t="e">
        <f>ROUND(SUMIFS(#REF!,#REF!,$B37,#REF!,$L$8)/_divisor,_decimos)</f>
        <v>#REF!</v>
      </c>
      <c r="M37" s="17"/>
      <c r="N37" s="17" t="e">
        <f>-ROUND(-SUMIF(#REF!,$B37,#REF!)/_divisor,_decimos)</f>
        <v>#REF!</v>
      </c>
      <c r="O37" s="18"/>
      <c r="P37" s="17">
        <f>ROUND(SUMIF(tbDez16[Agrupamento DVA],$B37,tbDez16[Saldo Final em Mil]),_decimos)</f>
        <v>0</v>
      </c>
      <c r="Q37" s="18"/>
      <c r="R37" s="17">
        <f>ROUND(DSUM('Balancete Dez-2015'!$A$4:$L$1003,"SALDO",$AG$33:$AG$35)/1000,_decimos)</f>
        <v>2051.6999999999998</v>
      </c>
      <c r="S37" s="18"/>
      <c r="T37" s="17">
        <f>ROUND(DSUM('Balancete Dez-2014'!$A$4:$L$1003,"SALDO",$AG$33:$AG$35)/1000,_decimos)</f>
        <v>1943.66</v>
      </c>
      <c r="U37" s="18"/>
      <c r="V37" s="17">
        <f>ROUND(DSUM('Balancete Dez-2013'!$A$4:$L$1003,"SALDO",$AG$33:$AG$35)/1000,_decimos)</f>
        <v>1728.69</v>
      </c>
      <c r="W37" s="18"/>
      <c r="X37" s="17">
        <f>ROUND(DSUM('Balancete Dez-2012'!$A$4:$L$1003,"SALDO",$AG$33:$AG$35)/1000,_decimos)</f>
        <v>1324.83</v>
      </c>
      <c r="Y37" s="18"/>
      <c r="Z37" s="14"/>
      <c r="AA37"/>
      <c r="AB37"/>
      <c r="AD37" s="107" t="s">
        <v>768</v>
      </c>
      <c r="AE37">
        <v>217</v>
      </c>
      <c r="AF37" s="108" t="s">
        <v>769</v>
      </c>
      <c r="AG37" s="104" t="s">
        <v>1409</v>
      </c>
      <c r="AH37" s="105"/>
      <c r="AI37" s="106"/>
    </row>
    <row r="38" spans="1:35" s="4" customFormat="1" ht="12.75" customHeight="1" x14ac:dyDescent="0.25">
      <c r="A38" s="19"/>
      <c r="B38" s="21"/>
      <c r="C38" s="19"/>
      <c r="D38" s="17"/>
      <c r="E38" s="16"/>
      <c r="F38" s="16"/>
      <c r="G38" s="18"/>
      <c r="H38" s="250">
        <v>39464706.490000002</v>
      </c>
      <c r="I38" s="241"/>
      <c r="J38" s="250">
        <v>31206212.34</v>
      </c>
      <c r="K38" s="18"/>
      <c r="L38" s="26" t="e">
        <f>_xlfn.AGGREGATE(9,5,L35:L37)</f>
        <v>#REF!</v>
      </c>
      <c r="M38" s="17"/>
      <c r="N38" s="26" t="e">
        <f>_xlfn.AGGREGATE(9,5,N35:N37)</f>
        <v>#REF!</v>
      </c>
      <c r="O38" s="18"/>
      <c r="P38" s="26">
        <f>_xlfn.AGGREGATE(9,5,P35:P37)</f>
        <v>0</v>
      </c>
      <c r="Q38" s="18"/>
      <c r="R38" s="26">
        <f>_xlfn.AGGREGATE(9,5,R35:R37)</f>
        <v>36214.269999999997</v>
      </c>
      <c r="S38" s="18"/>
      <c r="T38" s="26">
        <f>SUM(T35:T37)</f>
        <v>34167.770000000004</v>
      </c>
      <c r="U38" s="18"/>
      <c r="V38" s="26">
        <f>SUM(V35:V37)</f>
        <v>28861.670000000002</v>
      </c>
      <c r="W38" s="18"/>
      <c r="X38" s="26">
        <f>SUM(X35:X37)</f>
        <v>21671.79</v>
      </c>
      <c r="Y38" s="18"/>
      <c r="Z38"/>
      <c r="AA38"/>
      <c r="AB38"/>
      <c r="AC38"/>
      <c r="AD38" s="107" t="s">
        <v>772</v>
      </c>
      <c r="AE38">
        <v>222</v>
      </c>
      <c r="AF38" s="108" t="s">
        <v>773</v>
      </c>
      <c r="AG38" s="107" t="s">
        <v>19</v>
      </c>
      <c r="AH38" t="s">
        <v>20</v>
      </c>
      <c r="AI38" s="108" t="s">
        <v>21</v>
      </c>
    </row>
    <row r="39" spans="1:35" s="4" customFormat="1" ht="6" customHeight="1" x14ac:dyDescent="0.25">
      <c r="A39" s="19"/>
      <c r="B39" s="34"/>
      <c r="C39" s="19"/>
      <c r="D39" s="23"/>
      <c r="E39" s="16"/>
      <c r="F39" s="16"/>
      <c r="G39" s="47"/>
      <c r="H39" s="251"/>
      <c r="I39" s="251"/>
      <c r="J39" s="251"/>
      <c r="K39" s="47"/>
      <c r="L39" s="23"/>
      <c r="M39" s="23"/>
      <c r="N39" s="23"/>
      <c r="O39" s="47"/>
      <c r="P39" s="23"/>
      <c r="Q39" s="47"/>
      <c r="R39" s="23"/>
      <c r="S39" s="47"/>
      <c r="T39" s="23"/>
      <c r="U39" s="47"/>
      <c r="V39" s="23"/>
      <c r="W39" s="47"/>
      <c r="X39" s="23"/>
      <c r="Y39" s="18"/>
      <c r="Z39"/>
      <c r="AA39"/>
      <c r="AB39"/>
      <c r="AC39"/>
      <c r="AD39" s="107" t="s">
        <v>774</v>
      </c>
      <c r="AE39">
        <v>223</v>
      </c>
      <c r="AF39" s="108" t="s">
        <v>775</v>
      </c>
      <c r="AG39" s="107" t="s">
        <v>786</v>
      </c>
      <c r="AH39">
        <v>230</v>
      </c>
      <c r="AI39" s="108" t="s">
        <v>787</v>
      </c>
    </row>
    <row r="40" spans="1:35" s="4" customFormat="1" ht="12.75" customHeight="1" x14ac:dyDescent="0.25">
      <c r="A40" s="19"/>
      <c r="B40" s="20" t="s">
        <v>1411</v>
      </c>
      <c r="C40" s="19"/>
      <c r="D40" s="17"/>
      <c r="E40" s="16"/>
      <c r="F40" s="16"/>
      <c r="G40" s="18"/>
      <c r="H40" s="241"/>
      <c r="I40" s="241"/>
      <c r="J40" s="241"/>
      <c r="K40" s="18"/>
      <c r="L40" s="17"/>
      <c r="M40" s="17"/>
      <c r="N40" s="17"/>
      <c r="O40" s="18"/>
      <c r="P40" s="17"/>
      <c r="Q40" s="18"/>
      <c r="R40" s="17"/>
      <c r="S40" s="18"/>
      <c r="T40" s="17"/>
      <c r="U40" s="18"/>
      <c r="V40" s="17"/>
      <c r="W40" s="18"/>
      <c r="X40" s="17"/>
      <c r="Y40" s="18"/>
      <c r="Z40"/>
      <c r="AA40"/>
      <c r="AB40"/>
      <c r="AC40"/>
      <c r="AD40" s="107" t="s">
        <v>776</v>
      </c>
      <c r="AE40">
        <v>224</v>
      </c>
      <c r="AF40" s="108" t="s">
        <v>777</v>
      </c>
      <c r="AG40" s="107" t="s">
        <v>788</v>
      </c>
      <c r="AH40">
        <v>231</v>
      </c>
      <c r="AI40" s="108" t="s">
        <v>789</v>
      </c>
    </row>
    <row r="41" spans="1:35" s="4" customFormat="1" ht="12.75" customHeight="1" x14ac:dyDescent="0.25">
      <c r="A41" s="19"/>
      <c r="B41" s="21" t="s">
        <v>1412</v>
      </c>
      <c r="C41" s="19"/>
      <c r="D41" s="17"/>
      <c r="E41" s="16"/>
      <c r="F41" s="16"/>
      <c r="G41" s="18"/>
      <c r="H41" s="241">
        <v>36740850.950000003</v>
      </c>
      <c r="I41" s="241"/>
      <c r="J41" s="241">
        <v>36098621.810000002</v>
      </c>
      <c r="K41" s="18"/>
      <c r="L41" s="17" t="e">
        <f>ROUND(SUMIFS(#REF!,#REF!,$B41,#REF!,$L$8)/_divisor,_decimos)</f>
        <v>#REF!</v>
      </c>
      <c r="M41" s="17"/>
      <c r="N41" s="17" t="e">
        <f>-ROUND(-SUMIF(#REF!,$B41,#REF!)/_divisor,_decimos)</f>
        <v>#REF!</v>
      </c>
      <c r="O41" s="18"/>
      <c r="P41" s="17">
        <f>ROUND(SUMIF(tbDez16[Agrupamento DVA],$B41,tbDez16[Saldo Final em Mil]),_decimos)</f>
        <v>0</v>
      </c>
      <c r="Q41" s="18"/>
      <c r="R41" s="17" t="e">
        <f>ROUND(DSUM('Balancete Dez-2015'!$A$4:$L$1003,"SALDO",$AD$58:$AD$68)/1000,_decimos)-DRE!#REF!-DRE!#REF!-DRE!#REF!</f>
        <v>#REF!</v>
      </c>
      <c r="S41" s="18"/>
      <c r="T41" s="17" t="e">
        <f>ROUND(DSUM('Balancete Dez-2014'!$A$4:$L$1003,"SALDO",$AD$58:$AD$68)/1000,_decimos)-DRE!#REF!-DRE!#REF!-DRE!#REF!</f>
        <v>#REF!</v>
      </c>
      <c r="U41" s="18"/>
      <c r="V41" s="17" t="e">
        <f>ROUND(DSUM('Balancete Dez-2013'!$A$4:$L$1003,"SALDO",$AD$58:$AD$68)/1000,_decimos)-DRE!#REF!-DRE!#REF!-DRE!#REF!</f>
        <v>#REF!</v>
      </c>
      <c r="W41" s="18"/>
      <c r="X41" s="17" t="e">
        <f>ROUND(DSUM('Balancete Dez-2012'!$A$4:$L$1003,"SALDO",$AD$58:$AD$68)/1000,_decimos)-DRE!#REF!-DRE!#REF!-DRE!#REF!</f>
        <v>#REF!</v>
      </c>
      <c r="Y41" s="18"/>
      <c r="Z41" s="14"/>
      <c r="AA41"/>
      <c r="AB41"/>
      <c r="AC41"/>
      <c r="AD41" s="107" t="s">
        <v>778</v>
      </c>
      <c r="AE41">
        <v>225</v>
      </c>
      <c r="AF41" s="108" t="s">
        <v>779</v>
      </c>
      <c r="AG41" s="107" t="s">
        <v>790</v>
      </c>
      <c r="AH41">
        <v>232</v>
      </c>
      <c r="AI41" s="108" t="s">
        <v>791</v>
      </c>
    </row>
    <row r="42" spans="1:35" s="4" customFormat="1" ht="12.75" hidden="1" customHeight="1" x14ac:dyDescent="0.25">
      <c r="A42" s="19"/>
      <c r="B42" s="21" t="s">
        <v>1413</v>
      </c>
      <c r="C42" s="19"/>
      <c r="D42" s="17"/>
      <c r="E42" s="16"/>
      <c r="F42" s="16"/>
      <c r="G42" s="18"/>
      <c r="H42" s="241">
        <v>0</v>
      </c>
      <c r="I42" s="241"/>
      <c r="J42" s="241">
        <v>0</v>
      </c>
      <c r="K42" s="18"/>
      <c r="L42" s="17" t="e">
        <f>ROUND(SUMIFS(#REF!,#REF!,$B42,#REF!,$L$8)/_divisor,_decimos)</f>
        <v>#REF!</v>
      </c>
      <c r="M42" s="17"/>
      <c r="N42" s="17" t="e">
        <f>-ROUND(-SUMIF(#REF!,$B42,#REF!)/_divisor,_decimos)</f>
        <v>#REF!</v>
      </c>
      <c r="O42" s="18"/>
      <c r="P42" s="17">
        <f>ROUND(SUMIF(tbDez16[Agrupamento DVA],$B42,tbDez16[Saldo Final em Mil]),_decimos)</f>
        <v>0</v>
      </c>
      <c r="Q42" s="18"/>
      <c r="R42" s="17">
        <f>ROUND(DSUM('Balancete Dez-2015'!$A$4:$L$1003,"SALDO",$AG$58:$AG$60)/1000,_decimos)</f>
        <v>0</v>
      </c>
      <c r="S42" s="18"/>
      <c r="T42" s="17">
        <f>ROUND(DSUM('Balancete Dez-2014'!$A$4:$L$1003,"SALDO",$AG$58:$AG$60)/1000,_decimos)</f>
        <v>309.38</v>
      </c>
      <c r="U42" s="18"/>
      <c r="V42" s="17">
        <f>ROUND(DSUM('Balancete Dez-2013'!$A$4:$L$1003,"SALDO",$AG$58:$AG$60)/1000,_decimos)</f>
        <v>175.78</v>
      </c>
      <c r="W42" s="18"/>
      <c r="X42" s="17">
        <f>ROUND(DSUM('Balancete Dez-2012'!$A$4:$L$1003,"SALDO",$AG$58:$AG$60)/1000,_decimos)</f>
        <v>51.71</v>
      </c>
      <c r="Y42" s="18"/>
      <c r="Z42" s="14"/>
      <c r="AA42"/>
      <c r="AB42"/>
      <c r="AC42"/>
      <c r="AD42" s="107" t="s">
        <v>780</v>
      </c>
      <c r="AE42">
        <v>226</v>
      </c>
      <c r="AF42" s="108" t="s">
        <v>769</v>
      </c>
      <c r="AG42" s="107" t="s">
        <v>792</v>
      </c>
      <c r="AH42">
        <v>233</v>
      </c>
      <c r="AI42" s="108" t="s">
        <v>793</v>
      </c>
    </row>
    <row r="43" spans="1:35" s="4" customFormat="1" ht="12.75" customHeight="1" x14ac:dyDescent="0.25">
      <c r="A43" s="19"/>
      <c r="B43" s="21" t="s">
        <v>1414</v>
      </c>
      <c r="C43" s="19"/>
      <c r="D43" s="17"/>
      <c r="E43" s="16"/>
      <c r="F43" s="16"/>
      <c r="G43" s="18"/>
      <c r="H43" s="241">
        <v>3625452.96</v>
      </c>
      <c r="I43" s="241"/>
      <c r="J43" s="241">
        <v>3545993.39</v>
      </c>
      <c r="K43" s="18"/>
      <c r="L43" s="17" t="e">
        <f>ROUND(SUMIFS(#REF!,#REF!,$B43,#REF!,$L$8)/_divisor,_decimos)+1*_arred</f>
        <v>#REF!</v>
      </c>
      <c r="M43" s="17"/>
      <c r="N43" s="17" t="e">
        <f>-ROUND(-SUMIF(#REF!,$B43,#REF!)/_divisor,_decimos)</f>
        <v>#REF!</v>
      </c>
      <c r="O43" s="18"/>
      <c r="P43" s="17">
        <f>ROUND(SUMIF(tbDez16[Agrupamento DVA],$B43,tbDez16[Saldo Final em Mil]),_decimos)</f>
        <v>0</v>
      </c>
      <c r="Q43" s="18"/>
      <c r="R43" s="17">
        <f>ROUND(DSUM('Balancete Dez-2015'!$A$4:$L$1003,"SALDO",$AG$64:$AG$65)/1000,_decimos)</f>
        <v>3420.32</v>
      </c>
      <c r="S43" s="18"/>
      <c r="T43" s="17">
        <f>ROUND(DSUM('Balancete Dez-2014'!$A$4:$L$1003,"SALDO",$AG$64:$AG$65)/1000,_decimos)</f>
        <v>1879.14</v>
      </c>
      <c r="U43" s="18"/>
      <c r="V43" s="17">
        <f>ROUND(DSUM('Balancete Dez-2013'!$A$4:$L$1003,"SALDO",$AG$64:$AG$65)/1000,_decimos)</f>
        <v>1529.03</v>
      </c>
      <c r="W43" s="18"/>
      <c r="X43" s="17">
        <f>ROUND(DSUM('Balancete Dez-2012'!$A$4:$L$1003,"SALDO",$AG$64:$AG$65)/1000,_decimos)</f>
        <v>1129.3800000000001</v>
      </c>
      <c r="Y43" s="18"/>
      <c r="Z43" s="14"/>
      <c r="AA43"/>
      <c r="AB43"/>
      <c r="AD43" s="107" t="s">
        <v>781</v>
      </c>
      <c r="AE43">
        <v>227</v>
      </c>
      <c r="AF43" s="108" t="s">
        <v>782</v>
      </c>
      <c r="AG43" s="107" t="s">
        <v>794</v>
      </c>
      <c r="AH43">
        <v>235</v>
      </c>
      <c r="AI43" s="108" t="s">
        <v>795</v>
      </c>
    </row>
    <row r="44" spans="1:35" s="4" customFormat="1" ht="12.75" customHeight="1" x14ac:dyDescent="0.25">
      <c r="A44" s="19"/>
      <c r="B44" s="32"/>
      <c r="C44" s="19"/>
      <c r="D44" s="17"/>
      <c r="E44" s="16"/>
      <c r="F44" s="16"/>
      <c r="G44" s="18"/>
      <c r="H44" s="250">
        <v>40366303.910000004</v>
      </c>
      <c r="I44" s="241"/>
      <c r="J44" s="250">
        <v>39644615.200000003</v>
      </c>
      <c r="K44" s="18"/>
      <c r="L44" s="26" t="e">
        <f>_xlfn.AGGREGATE(9,5,L41:L43)</f>
        <v>#REF!</v>
      </c>
      <c r="M44" s="17"/>
      <c r="N44" s="26" t="e">
        <f>_xlfn.AGGREGATE(9,5,N41:N43)</f>
        <v>#REF!</v>
      </c>
      <c r="O44" s="18"/>
      <c r="P44" s="26">
        <f>_xlfn.AGGREGATE(9,5,P41:P43)</f>
        <v>0</v>
      </c>
      <c r="Q44" s="18"/>
      <c r="R44" s="26" t="e">
        <f>_xlfn.AGGREGATE(9,5,R41:R43)</f>
        <v>#REF!</v>
      </c>
      <c r="S44" s="18"/>
      <c r="T44" s="26" t="e">
        <f>SUM(T41:T43)</f>
        <v>#REF!</v>
      </c>
      <c r="U44" s="18"/>
      <c r="V44" s="26" t="e">
        <f>SUM(V41:V43)</f>
        <v>#REF!</v>
      </c>
      <c r="W44" s="18"/>
      <c r="X44" s="26" t="e">
        <f>SUM(X41:X43)</f>
        <v>#REF!</v>
      </c>
      <c r="Y44" s="18"/>
      <c r="Z44"/>
      <c r="AA44"/>
      <c r="AB44"/>
      <c r="AC44"/>
      <c r="AD44" s="107" t="s">
        <v>796</v>
      </c>
      <c r="AE44">
        <v>702</v>
      </c>
      <c r="AF44" s="108" t="s">
        <v>797</v>
      </c>
      <c r="AG44" s="107" t="s">
        <v>1415</v>
      </c>
      <c r="AH44">
        <v>236</v>
      </c>
      <c r="AI44" s="108" t="s">
        <v>1416</v>
      </c>
    </row>
    <row r="45" spans="1:35" s="4" customFormat="1" ht="6" customHeight="1" x14ac:dyDescent="0.25">
      <c r="A45" s="19"/>
      <c r="B45" s="32"/>
      <c r="C45" s="19"/>
      <c r="D45" s="17"/>
      <c r="E45" s="16"/>
      <c r="F45" s="16"/>
      <c r="G45" s="18"/>
      <c r="H45" s="241"/>
      <c r="I45" s="241"/>
      <c r="J45" s="241"/>
      <c r="K45" s="18"/>
      <c r="L45" s="17"/>
      <c r="M45" s="17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/>
      <c r="AA45"/>
      <c r="AB45"/>
      <c r="AC45"/>
      <c r="AD45" s="107" t="s">
        <v>798</v>
      </c>
      <c r="AE45">
        <v>703</v>
      </c>
      <c r="AF45" s="108" t="s">
        <v>799</v>
      </c>
      <c r="AG45" s="107" t="s">
        <v>1417</v>
      </c>
      <c r="AH45">
        <v>538</v>
      </c>
      <c r="AI45" s="108" t="s">
        <v>1418</v>
      </c>
    </row>
    <row r="46" spans="1:35" s="4" customFormat="1" ht="12.75" customHeight="1" x14ac:dyDescent="0.25">
      <c r="A46" s="19"/>
      <c r="B46" s="20" t="s">
        <v>1419</v>
      </c>
      <c r="C46" s="19"/>
      <c r="D46" s="17"/>
      <c r="E46" s="16"/>
      <c r="F46" s="16"/>
      <c r="G46" s="18"/>
      <c r="H46" s="241"/>
      <c r="I46" s="241"/>
      <c r="J46" s="241"/>
      <c r="K46" s="18"/>
      <c r="L46" s="17"/>
      <c r="M46" s="17"/>
      <c r="N46" s="17"/>
      <c r="O46" s="18"/>
      <c r="P46" s="17"/>
      <c r="Q46" s="18"/>
      <c r="R46" s="17"/>
      <c r="S46" s="18"/>
      <c r="T46" s="17"/>
      <c r="U46" s="18"/>
      <c r="V46" s="17"/>
      <c r="W46" s="18"/>
      <c r="X46" s="17"/>
      <c r="Y46" s="18"/>
      <c r="Z46"/>
      <c r="AA46"/>
      <c r="AB46"/>
      <c r="AC46"/>
      <c r="AD46" s="107" t="s">
        <v>800</v>
      </c>
      <c r="AE46">
        <v>704</v>
      </c>
      <c r="AF46" s="108" t="s">
        <v>801</v>
      </c>
      <c r="AG46" s="107" t="s">
        <v>820</v>
      </c>
      <c r="AH46">
        <v>829</v>
      </c>
      <c r="AI46" s="108" t="s">
        <v>821</v>
      </c>
    </row>
    <row r="47" spans="1:35" s="4" customFormat="1" ht="12.75" customHeight="1" thickBot="1" x14ac:dyDescent="0.3">
      <c r="A47" s="19"/>
      <c r="B47" s="21" t="s">
        <v>1420</v>
      </c>
      <c r="C47" s="19"/>
      <c r="D47" s="17"/>
      <c r="E47" s="16"/>
      <c r="F47" s="16"/>
      <c r="G47" s="18"/>
      <c r="H47" s="241">
        <v>765541.16</v>
      </c>
      <c r="I47" s="241"/>
      <c r="J47" s="241">
        <v>541639.24</v>
      </c>
      <c r="K47" s="18"/>
      <c r="L47" s="17" t="e">
        <f>ROUND(SUMIFS(#REF!,#REF!,$B47,#REF!,$L$8)/_divisor,_decimos)</f>
        <v>#REF!</v>
      </c>
      <c r="M47" s="17"/>
      <c r="N47" s="17" t="e">
        <f>-ROUND(-SUMIF(#REF!,$B47,#REF!)/_divisor,_decimos)</f>
        <v>#REF!</v>
      </c>
      <c r="O47" s="18"/>
      <c r="P47" s="17">
        <f>ROUND(SUMIF(tbDez16[Agrupamento DVA],$B47,tbDez16[Saldo Final em Mil]),_decimos)</f>
        <v>0</v>
      </c>
      <c r="Q47" s="18"/>
      <c r="R47" s="17">
        <f>ROUND(DSUM('Balancete Dez-2015'!$A$4:$L$1003,"SALDO",$AD$71:$AF$72)/1000,_decimos)</f>
        <v>112.76</v>
      </c>
      <c r="S47" s="18"/>
      <c r="T47" s="17">
        <f>ROUND(DSUM('Balancete Dez-2014'!$A$4:$L$1003,"SALDO",$AD$71:$AF$72)/1000,_decimos)</f>
        <v>3175.32</v>
      </c>
      <c r="U47" s="18"/>
      <c r="V47" s="17">
        <f>ROUND(DSUM('Balancete Dez-2013'!$A$4:$L$1003,"SALDO",$AD$71:$AF$72)/1000,_decimos)</f>
        <v>2299.4299999999998</v>
      </c>
      <c r="W47" s="18"/>
      <c r="X47" s="17">
        <f>ROUND(DSUM('Balancete Dez-2012'!$A$4:$L$1003,"SALDO",$AD$71:$AF$72)/1000,_decimos)</f>
        <v>580.34</v>
      </c>
      <c r="Y47" s="18"/>
      <c r="Z47" s="14"/>
      <c r="AA47"/>
      <c r="AB47"/>
      <c r="AC47"/>
      <c r="AD47" s="107" t="s">
        <v>802</v>
      </c>
      <c r="AE47">
        <v>705</v>
      </c>
      <c r="AF47" s="108" t="s">
        <v>803</v>
      </c>
      <c r="AG47" s="109" t="s">
        <v>822</v>
      </c>
      <c r="AH47" s="110">
        <v>926</v>
      </c>
      <c r="AI47" s="111" t="s">
        <v>823</v>
      </c>
    </row>
    <row r="48" spans="1:35" s="4" customFormat="1" ht="12.75" customHeight="1" x14ac:dyDescent="0.25">
      <c r="A48" s="19"/>
      <c r="B48" s="21" t="s">
        <v>1318</v>
      </c>
      <c r="C48" s="19"/>
      <c r="D48" s="17"/>
      <c r="E48" s="16"/>
      <c r="F48" s="16"/>
      <c r="G48" s="18"/>
      <c r="H48" s="241">
        <v>4078490.15</v>
      </c>
      <c r="I48" s="241"/>
      <c r="J48" s="241">
        <v>3170714.53</v>
      </c>
      <c r="K48" s="18"/>
      <c r="L48" s="17" t="e">
        <f>ROUND(SUMIFS(#REF!,#REF!,$B48,#REF!,$L$8)/_divisor,_decimos)</f>
        <v>#REF!</v>
      </c>
      <c r="M48" s="17"/>
      <c r="N48" s="17" t="e">
        <f>-ROUND(-SUMIF(#REF!,$B48,#REF!)/_divisor,_decimos)</f>
        <v>#REF!</v>
      </c>
      <c r="O48" s="18"/>
      <c r="P48" s="17">
        <f>ROUND(SUMIF(tbDez16[Agrupamento DVA],$B48,tbDez16[Saldo Final em Mil]),_decimos)</f>
        <v>0</v>
      </c>
      <c r="Q48" s="18"/>
      <c r="R48" s="17" t="e">
        <f>-DRE!#REF!</f>
        <v>#REF!</v>
      </c>
      <c r="S48" s="18"/>
      <c r="T48" s="17" t="e">
        <f>-DRE!#REF!</f>
        <v>#REF!</v>
      </c>
      <c r="U48" s="18"/>
      <c r="V48" s="17" t="e">
        <f>-DRE!#REF!</f>
        <v>#REF!</v>
      </c>
      <c r="W48" s="18"/>
      <c r="X48" s="17" t="e">
        <f>-DRE!#REF!</f>
        <v>#REF!</v>
      </c>
      <c r="Y48" s="18"/>
      <c r="Z48" s="14"/>
      <c r="AA48"/>
      <c r="AB48"/>
      <c r="AC48"/>
      <c r="AD48" s="107" t="s">
        <v>804</v>
      </c>
      <c r="AE48">
        <v>706</v>
      </c>
      <c r="AF48" s="108" t="s">
        <v>805</v>
      </c>
    </row>
    <row r="49" spans="1:35" s="4" customFormat="1" ht="12.75" customHeight="1" x14ac:dyDescent="0.25">
      <c r="A49" s="19"/>
      <c r="B49" s="21" t="s">
        <v>750</v>
      </c>
      <c r="C49" s="19"/>
      <c r="D49" s="17"/>
      <c r="E49" s="16"/>
      <c r="F49" s="16"/>
      <c r="G49" s="18"/>
      <c r="H49" s="241">
        <v>13586890.02</v>
      </c>
      <c r="I49" s="241"/>
      <c r="J49" s="241">
        <v>13887141.189999999</v>
      </c>
      <c r="K49" s="18"/>
      <c r="L49" s="17" t="e">
        <f>ROUND(SUMIFS(#REF!,#REF!,$B49,#REF!,$L$8)/_divisor,_decimos)</f>
        <v>#REF!</v>
      </c>
      <c r="M49" s="17"/>
      <c r="N49" s="17" t="e">
        <f>-ROUND(-SUMIF(#REF!,$B49,#REF!)/_divisor,_decimos)</f>
        <v>#REF!</v>
      </c>
      <c r="O49" s="18"/>
      <c r="P49" s="17">
        <f>ROUND(SUMIF(tbDez16[Agrupamento DVA],$B49,tbDez16[Saldo Final em Mil]),_decimos)</f>
        <v>0</v>
      </c>
      <c r="Q49" s="18"/>
      <c r="R49" s="17">
        <f>ROUND(DSUM('Balancete Dez-2015'!$A$4:$L$1003,"SALDO",$AG$71:$AI$73)/1000,_decimos)</f>
        <v>9301.51</v>
      </c>
      <c r="S49" s="18"/>
      <c r="T49" s="17">
        <f>ROUND(DSUM('Balancete Dez-2014'!$A$4:$L$1003,"SALDO",$AG$71:$AI$73)/1000,_decimos)</f>
        <v>453.02</v>
      </c>
      <c r="U49" s="18"/>
      <c r="V49" s="17">
        <f>ROUND(DSUM('Balancete Dez-2013'!$A$4:$L$1003,"SALDO",$AG$71:$AI$73)/1000,_decimos)</f>
        <v>54.43</v>
      </c>
      <c r="W49" s="18"/>
      <c r="X49" s="17">
        <f>ROUND(DSUM('Balancete Dez-2012'!$A$4:$L$1003,"SALDO",$AG$71:$AI$73)/1000,_decimos)</f>
        <v>2421.52</v>
      </c>
      <c r="Y49" s="18"/>
      <c r="Z49" s="14"/>
      <c r="AA49"/>
      <c r="AB49"/>
      <c r="AC49"/>
      <c r="AD49" s="107" t="s">
        <v>808</v>
      </c>
      <c r="AE49">
        <v>708</v>
      </c>
      <c r="AF49" s="108" t="s">
        <v>809</v>
      </c>
    </row>
    <row r="50" spans="1:35" s="4" customFormat="1" ht="12.75" customHeight="1" x14ac:dyDescent="0.25">
      <c r="A50" s="19"/>
      <c r="B50" s="15"/>
      <c r="C50" s="19"/>
      <c r="D50" s="17"/>
      <c r="E50" s="16"/>
      <c r="F50" s="16"/>
      <c r="G50" s="18"/>
      <c r="H50" s="250">
        <v>18430921.329999998</v>
      </c>
      <c r="I50" s="241"/>
      <c r="J50" s="250">
        <v>17599494.960000001</v>
      </c>
      <c r="K50" s="18"/>
      <c r="L50" s="26" t="e">
        <f>_xlfn.AGGREGATE(9,5,L47:L49)</f>
        <v>#REF!</v>
      </c>
      <c r="M50" s="17"/>
      <c r="N50" s="26" t="e">
        <f>_xlfn.AGGREGATE(9,5,N47:N49)</f>
        <v>#REF!</v>
      </c>
      <c r="O50" s="18"/>
      <c r="P50" s="26">
        <f>_xlfn.AGGREGATE(9,5,P47:P49)</f>
        <v>0</v>
      </c>
      <c r="Q50" s="18"/>
      <c r="R50" s="26" t="e">
        <f>_xlfn.AGGREGATE(9,5,R47:R49)</f>
        <v>#REF!</v>
      </c>
      <c r="S50" s="18"/>
      <c r="T50" s="26" t="e">
        <f>SUM(T47:T49)</f>
        <v>#REF!</v>
      </c>
      <c r="U50" s="18"/>
      <c r="V50" s="26" t="e">
        <f>SUM(V47:V49)</f>
        <v>#REF!</v>
      </c>
      <c r="W50" s="18"/>
      <c r="X50" s="26" t="e">
        <f>SUM(X47:X49)</f>
        <v>#REF!</v>
      </c>
      <c r="Y50" s="18"/>
      <c r="Z50"/>
      <c r="AA50"/>
      <c r="AB50"/>
      <c r="AC50"/>
      <c r="AD50" s="107" t="s">
        <v>810</v>
      </c>
      <c r="AE50">
        <v>709</v>
      </c>
      <c r="AF50" s="108" t="s">
        <v>811</v>
      </c>
      <c r="AG50"/>
      <c r="AH50"/>
      <c r="AI50"/>
    </row>
    <row r="51" spans="1:35" s="4" customFormat="1" ht="8.1" customHeight="1" x14ac:dyDescent="0.25">
      <c r="A51" s="19"/>
      <c r="B51" s="32"/>
      <c r="C51" s="19"/>
      <c r="D51" s="17"/>
      <c r="E51" s="16"/>
      <c r="F51" s="16"/>
      <c r="G51" s="18"/>
      <c r="H51" s="241"/>
      <c r="I51" s="241"/>
      <c r="J51" s="241"/>
      <c r="K51" s="18"/>
      <c r="L51" s="17"/>
      <c r="M51" s="17"/>
      <c r="N51" s="17"/>
      <c r="O51" s="18"/>
      <c r="P51" s="17"/>
      <c r="Q51" s="18"/>
      <c r="R51" s="17"/>
      <c r="S51" s="18"/>
      <c r="T51" s="17"/>
      <c r="U51" s="18"/>
      <c r="V51" s="17"/>
      <c r="W51" s="18"/>
      <c r="X51" s="17"/>
      <c r="Y51" s="18"/>
      <c r="Z51"/>
      <c r="AA51"/>
      <c r="AB51"/>
      <c r="AC51"/>
      <c r="AD51" s="107" t="s">
        <v>812</v>
      </c>
      <c r="AE51">
        <v>710</v>
      </c>
      <c r="AF51" s="108" t="s">
        <v>813</v>
      </c>
    </row>
    <row r="52" spans="1:35" s="4" customFormat="1" ht="12.75" customHeight="1" x14ac:dyDescent="0.25">
      <c r="A52" s="19"/>
      <c r="B52" s="20" t="s">
        <v>1421</v>
      </c>
      <c r="C52" s="19"/>
      <c r="D52" s="17"/>
      <c r="E52" s="16"/>
      <c r="F52" s="16"/>
      <c r="G52" s="18"/>
      <c r="H52" s="246">
        <v>25972391.230000041</v>
      </c>
      <c r="I52" s="241"/>
      <c r="J52" s="246">
        <v>28881726.239999987</v>
      </c>
      <c r="K52" s="18"/>
      <c r="L52" s="33" t="e">
        <f>DRE!#REF!</f>
        <v>#REF!</v>
      </c>
      <c r="M52" s="17"/>
      <c r="N52" s="33" t="e">
        <f>DRE!#REF!</f>
        <v>#REF!</v>
      </c>
      <c r="O52" s="18"/>
      <c r="P52" s="33">
        <f>ROUND(-SUMIF(tbDez16[Agrupamento DVA],$B52,tbDez16[Saldo Final em Mil]),_decimos)</f>
        <v>0</v>
      </c>
      <c r="Q52" s="18"/>
      <c r="R52" s="33" t="e">
        <f>DRE!#REF!</f>
        <v>#REF!</v>
      </c>
      <c r="S52" s="18"/>
      <c r="T52" s="33" t="e">
        <f>DRE!#REF!</f>
        <v>#REF!</v>
      </c>
      <c r="U52" s="18"/>
      <c r="V52" s="33" t="e">
        <f>DRE!#REF!</f>
        <v>#REF!</v>
      </c>
      <c r="W52" s="18"/>
      <c r="X52" s="33" t="e">
        <f>DRE!#REF!</f>
        <v>#REF!</v>
      </c>
      <c r="Y52" s="18"/>
      <c r="Z52"/>
      <c r="AA52"/>
      <c r="AB52"/>
      <c r="AC52"/>
      <c r="AD52" s="107" t="s">
        <v>814</v>
      </c>
      <c r="AE52">
        <v>711</v>
      </c>
      <c r="AF52" s="108" t="s">
        <v>815</v>
      </c>
    </row>
    <row r="53" spans="1:35" s="4" customFormat="1" ht="6" customHeight="1" x14ac:dyDescent="0.25">
      <c r="A53" s="19"/>
      <c r="B53" s="34"/>
      <c r="C53" s="19"/>
      <c r="D53" s="17"/>
      <c r="E53" s="16"/>
      <c r="F53" s="16"/>
      <c r="G53" s="18"/>
      <c r="H53" s="251"/>
      <c r="I53" s="241"/>
      <c r="J53" s="251"/>
      <c r="K53" s="18"/>
      <c r="L53" s="23"/>
      <c r="M53" s="17"/>
      <c r="N53" s="23"/>
      <c r="O53" s="18"/>
      <c r="P53" s="23"/>
      <c r="Q53" s="18"/>
      <c r="R53" s="23"/>
      <c r="S53" s="18"/>
      <c r="T53" s="23"/>
      <c r="U53" s="18"/>
      <c r="V53" s="23"/>
      <c r="W53" s="18"/>
      <c r="X53" s="23"/>
      <c r="Y53" s="18"/>
      <c r="Z53"/>
      <c r="AA53"/>
      <c r="AB53"/>
      <c r="AC53"/>
      <c r="AD53" s="107" t="s">
        <v>816</v>
      </c>
      <c r="AE53">
        <v>712</v>
      </c>
      <c r="AF53" s="108" t="s">
        <v>817</v>
      </c>
    </row>
    <row r="54" spans="1:35" s="4" customFormat="1" ht="12.75" customHeight="1" thickBot="1" x14ac:dyDescent="0.3">
      <c r="A54" s="19"/>
      <c r="B54" s="15" t="s">
        <v>1422</v>
      </c>
      <c r="C54" s="19"/>
      <c r="D54" s="17"/>
      <c r="E54" s="16"/>
      <c r="F54" s="16"/>
      <c r="G54" s="18"/>
      <c r="H54" s="245">
        <v>124234322.96000004</v>
      </c>
      <c r="I54" s="241"/>
      <c r="J54" s="245">
        <v>117332048.73999998</v>
      </c>
      <c r="K54" s="18"/>
      <c r="L54" s="28" t="e">
        <f>L38+L44+L50+L52</f>
        <v>#REF!</v>
      </c>
      <c r="M54" s="17"/>
      <c r="N54" s="28" t="e">
        <f>N38+N44+N50+N52</f>
        <v>#REF!</v>
      </c>
      <c r="O54" s="18"/>
      <c r="P54" s="28">
        <f>P38+P44+P50+P52</f>
        <v>0</v>
      </c>
      <c r="Q54" s="18"/>
      <c r="R54" s="28" t="e">
        <f>R38+R44+R50+R52</f>
        <v>#REF!</v>
      </c>
      <c r="S54" s="18"/>
      <c r="T54" s="28" t="e">
        <f>T38+T44+T50+T52</f>
        <v>#REF!</v>
      </c>
      <c r="U54" s="18"/>
      <c r="V54" s="28" t="e">
        <f>V38+V44+V50+V52</f>
        <v>#REF!</v>
      </c>
      <c r="W54" s="18"/>
      <c r="X54" s="28" t="e">
        <f>X38+X44+X50+X52</f>
        <v>#REF!</v>
      </c>
      <c r="Y54" s="18"/>
      <c r="Z54" s="14"/>
      <c r="AA54" s="14"/>
      <c r="AB54"/>
      <c r="AC54"/>
      <c r="AD54" s="107" t="s">
        <v>818</v>
      </c>
      <c r="AE54">
        <v>713</v>
      </c>
      <c r="AF54" s="108" t="s">
        <v>819</v>
      </c>
    </row>
    <row r="55" spans="1:35" ht="12.75" customHeight="1" thickTop="1" x14ac:dyDescent="0.25"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D55" s="107" t="s">
        <v>824</v>
      </c>
      <c r="AE55">
        <v>929</v>
      </c>
      <c r="AF55" s="108" t="s">
        <v>825</v>
      </c>
    </row>
    <row r="56" spans="1:35" ht="12.75" customHeight="1" thickBot="1" x14ac:dyDescent="0.3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D56" s="109" t="s">
        <v>1064</v>
      </c>
      <c r="AE56" s="110"/>
      <c r="AF56" s="111"/>
    </row>
    <row r="57" spans="1:35" ht="11.25" customHeight="1" x14ac:dyDescent="0.25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35" ht="12.95" hidden="1" customHeight="1" x14ac:dyDescent="0.25">
      <c r="A58" s="294" t="str">
        <f>BP!A50</f>
        <v>Dilermano Alves de Brito</v>
      </c>
      <c r="B58" s="294"/>
      <c r="C58" s="294"/>
      <c r="D58" s="294"/>
      <c r="E58"/>
      <c r="F58"/>
      <c r="G58" s="294" t="str">
        <f>BP!J50</f>
        <v>Glauber Ramos Oliveira de Assis</v>
      </c>
      <c r="H58" s="294"/>
      <c r="I58" s="294"/>
      <c r="J58" s="294"/>
      <c r="K58" s="294"/>
      <c r="L58" s="294"/>
      <c r="M58" s="294"/>
      <c r="N58" s="294"/>
      <c r="O58" s="294"/>
      <c r="P58" s="294"/>
      <c r="Q58" s="294"/>
      <c r="R58" s="294"/>
      <c r="S58" s="294"/>
      <c r="T58" s="294"/>
      <c r="U58" s="294"/>
      <c r="V58"/>
      <c r="W58"/>
      <c r="X58"/>
      <c r="Y58"/>
      <c r="Z58"/>
      <c r="AD58" s="107" t="s">
        <v>19</v>
      </c>
      <c r="AE58" t="s">
        <v>20</v>
      </c>
      <c r="AF58" s="108" t="s">
        <v>21</v>
      </c>
      <c r="AG58" s="107" t="s">
        <v>19</v>
      </c>
      <c r="AH58" t="s">
        <v>20</v>
      </c>
      <c r="AI58" s="108" t="s">
        <v>21</v>
      </c>
    </row>
    <row r="59" spans="1:35" ht="12.95" hidden="1" customHeight="1" x14ac:dyDescent="0.25">
      <c r="A59" s="294" t="str">
        <f>BP!A51</f>
        <v>CPF nº 027.282.864-50</v>
      </c>
      <c r="B59" s="294"/>
      <c r="C59" s="294"/>
      <c r="D59" s="294"/>
      <c r="E59"/>
      <c r="F59"/>
      <c r="G59" s="294" t="str">
        <f>BP!J51</f>
        <v>CPF nº 027.784.974-80</v>
      </c>
      <c r="H59" s="294"/>
      <c r="I59" s="294"/>
      <c r="J59" s="294"/>
      <c r="K59" s="294"/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Z59" s="103"/>
      <c r="AA59" s="103"/>
      <c r="AD59" s="107" t="s">
        <v>1423</v>
      </c>
      <c r="AE59">
        <v>219</v>
      </c>
      <c r="AF59" s="108" t="s">
        <v>540</v>
      </c>
      <c r="AG59" s="107" t="s">
        <v>760</v>
      </c>
      <c r="AH59">
        <v>486</v>
      </c>
      <c r="AI59" s="108" t="s">
        <v>761</v>
      </c>
    </row>
    <row r="60" spans="1:35" ht="12.95" hidden="1" customHeight="1" thickBot="1" x14ac:dyDescent="0.3">
      <c r="A60" s="294" t="str">
        <f>BP!A52</f>
        <v>Diretor Administrativo-Financeiro</v>
      </c>
      <c r="B60" s="294"/>
      <c r="C60" s="294"/>
      <c r="D60" s="294"/>
      <c r="E60" s="16"/>
      <c r="F60" s="16"/>
      <c r="G60" s="294" t="str">
        <f>BP!J52</f>
        <v>Contador CRC/PE 017099/O-9</v>
      </c>
      <c r="H60" s="294"/>
      <c r="I60" s="294"/>
      <c r="J60" s="294"/>
      <c r="K60" s="294"/>
      <c r="L60" s="294"/>
      <c r="M60" s="294"/>
      <c r="N60" s="294"/>
      <c r="O60" s="294"/>
      <c r="P60" s="294"/>
      <c r="Q60" s="294"/>
      <c r="R60" s="294"/>
      <c r="S60" s="294"/>
      <c r="T60" s="294"/>
      <c r="U60" s="294"/>
      <c r="Z60" s="103"/>
      <c r="AA60" s="103"/>
      <c r="AD60" s="107" t="s">
        <v>783</v>
      </c>
      <c r="AE60">
        <v>228</v>
      </c>
      <c r="AF60" s="108" t="s">
        <v>540</v>
      </c>
      <c r="AG60" s="109" t="s">
        <v>1080</v>
      </c>
      <c r="AH60" s="110">
        <v>1032</v>
      </c>
      <c r="AI60" s="111" t="s">
        <v>761</v>
      </c>
    </row>
    <row r="61" spans="1:35" ht="12.75" customHeight="1" x14ac:dyDescent="0.25">
      <c r="A61" s="16"/>
      <c r="B61" s="16"/>
      <c r="C61" s="30"/>
      <c r="D61" s="30"/>
      <c r="E61" s="16"/>
      <c r="F61" s="16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Z61" s="103"/>
      <c r="AA61" s="103"/>
      <c r="AD61" s="107" t="s">
        <v>753</v>
      </c>
      <c r="AE61">
        <v>206</v>
      </c>
      <c r="AF61" s="108" t="s">
        <v>754</v>
      </c>
    </row>
    <row r="62" spans="1:35" ht="12.75" customHeight="1" thickBot="1" x14ac:dyDescent="0.3">
      <c r="A62" s="16"/>
      <c r="B62" s="16"/>
      <c r="C62" s="30"/>
      <c r="D62" s="30"/>
      <c r="E62" s="16"/>
      <c r="F62" s="16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Y62" s="31"/>
      <c r="Z62"/>
      <c r="AD62" s="107" t="s">
        <v>755</v>
      </c>
      <c r="AE62">
        <v>207</v>
      </c>
      <c r="AF62" s="108" t="s">
        <v>554</v>
      </c>
    </row>
    <row r="63" spans="1:35" ht="12.75" customHeight="1" x14ac:dyDescent="0.25">
      <c r="A63" s="16"/>
      <c r="H63" s="17">
        <f>H29-H54</f>
        <v>0</v>
      </c>
      <c r="J63" s="17">
        <f>J29-J54</f>
        <v>0</v>
      </c>
      <c r="L63" s="17" t="e">
        <f>L29-L54</f>
        <v>#REF!</v>
      </c>
      <c r="N63" s="17" t="e">
        <f>N29-N54</f>
        <v>#REF!</v>
      </c>
      <c r="P63" s="17">
        <f>P29-P54</f>
        <v>0</v>
      </c>
      <c r="R63" s="17" t="e">
        <f>R29-R54</f>
        <v>#REF!</v>
      </c>
      <c r="S63" s="18"/>
      <c r="T63" s="17" t="e">
        <f>T29-T54</f>
        <v>#REF!</v>
      </c>
      <c r="U63" s="18"/>
      <c r="V63" s="17" t="e">
        <f>V29-V54</f>
        <v>#REF!</v>
      </c>
      <c r="X63" s="17" t="e">
        <f>X29-X54</f>
        <v>#REF!</v>
      </c>
      <c r="Y63" s="31"/>
      <c r="Z63"/>
      <c r="AD63" s="107" t="s">
        <v>888</v>
      </c>
      <c r="AE63">
        <v>270</v>
      </c>
      <c r="AF63" s="108" t="s">
        <v>889</v>
      </c>
      <c r="AG63" s="104" t="s">
        <v>1424</v>
      </c>
      <c r="AH63" s="112"/>
      <c r="AI63" s="113"/>
    </row>
    <row r="64" spans="1:35" ht="12.75" customHeight="1" x14ac:dyDescent="0.25">
      <c r="A64" s="16"/>
      <c r="R64" s="31"/>
      <c r="S64" s="31"/>
      <c r="T64" s="31"/>
      <c r="U64" s="31"/>
      <c r="Y64" s="31"/>
      <c r="Z64"/>
      <c r="AD64" s="107" t="s">
        <v>1425</v>
      </c>
      <c r="AE64">
        <v>280</v>
      </c>
      <c r="AF64" s="108" t="s">
        <v>1426</v>
      </c>
      <c r="AG64" s="107" t="s">
        <v>19</v>
      </c>
      <c r="AH64" t="s">
        <v>20</v>
      </c>
      <c r="AI64" s="108" t="s">
        <v>21</v>
      </c>
    </row>
    <row r="65" spans="26:35" ht="12.75" customHeight="1" thickBot="1" x14ac:dyDescent="0.3">
      <c r="Z65"/>
      <c r="AD65" s="107" t="s">
        <v>922</v>
      </c>
      <c r="AE65">
        <v>281</v>
      </c>
      <c r="AF65" s="108" t="s">
        <v>923</v>
      </c>
      <c r="AG65" s="109" t="s">
        <v>756</v>
      </c>
      <c r="AH65" s="110">
        <v>208</v>
      </c>
      <c r="AI65" s="111" t="s">
        <v>757</v>
      </c>
    </row>
    <row r="66" spans="26:35" ht="12.75" customHeight="1" x14ac:dyDescent="0.25">
      <c r="Z66"/>
      <c r="AD66" s="107" t="s">
        <v>924</v>
      </c>
      <c r="AE66">
        <v>282</v>
      </c>
      <c r="AF66" s="108" t="s">
        <v>925</v>
      </c>
      <c r="AG66" s="4"/>
      <c r="AH66" s="4"/>
      <c r="AI66" s="4"/>
    </row>
    <row r="67" spans="26:35" ht="12.75" customHeight="1" x14ac:dyDescent="0.25">
      <c r="Z67"/>
      <c r="AD67" s="107" t="s">
        <v>928</v>
      </c>
      <c r="AE67">
        <v>700</v>
      </c>
      <c r="AF67" s="108" t="s">
        <v>929</v>
      </c>
      <c r="AG67" s="4"/>
      <c r="AH67" s="4"/>
      <c r="AI67" s="4"/>
    </row>
    <row r="68" spans="26:35" ht="12.75" customHeight="1" thickBot="1" x14ac:dyDescent="0.3">
      <c r="Z68"/>
      <c r="AD68" s="109" t="s">
        <v>930</v>
      </c>
      <c r="AE68" s="110">
        <v>701</v>
      </c>
      <c r="AF68" s="111" t="s">
        <v>554</v>
      </c>
    </row>
    <row r="69" spans="26:35" ht="15.75" thickBot="1" x14ac:dyDescent="0.3"/>
    <row r="70" spans="26:35" x14ac:dyDescent="0.25">
      <c r="AD70" s="104" t="s">
        <v>1420</v>
      </c>
      <c r="AE70" s="112"/>
      <c r="AF70" s="112"/>
      <c r="AG70" s="104" t="s">
        <v>1427</v>
      </c>
      <c r="AH70" s="112"/>
      <c r="AI70" s="113"/>
    </row>
    <row r="71" spans="26:35" x14ac:dyDescent="0.25">
      <c r="AD71" s="107" t="s">
        <v>19</v>
      </c>
      <c r="AE71" t="s">
        <v>20</v>
      </c>
      <c r="AF71" t="s">
        <v>21</v>
      </c>
      <c r="AG71" s="107" t="s">
        <v>19</v>
      </c>
      <c r="AH71" t="s">
        <v>20</v>
      </c>
      <c r="AI71" s="108" t="s">
        <v>21</v>
      </c>
    </row>
    <row r="72" spans="26:35" ht="15.75" thickBot="1" x14ac:dyDescent="0.3">
      <c r="AD72" s="109" t="s">
        <v>961</v>
      </c>
      <c r="AE72" s="110">
        <v>296</v>
      </c>
      <c r="AF72" s="110" t="s">
        <v>962</v>
      </c>
      <c r="AG72" s="107" t="s">
        <v>957</v>
      </c>
      <c r="AH72">
        <v>294</v>
      </c>
      <c r="AI72" s="108" t="s">
        <v>958</v>
      </c>
    </row>
    <row r="73" spans="26:35" ht="15.75" thickBot="1" x14ac:dyDescent="0.3">
      <c r="AG73" s="109" t="s">
        <v>959</v>
      </c>
      <c r="AH73" s="110">
        <v>295</v>
      </c>
      <c r="AI73" s="111" t="s">
        <v>960</v>
      </c>
    </row>
  </sheetData>
  <mergeCells count="11">
    <mergeCell ref="G58:U58"/>
    <mergeCell ref="G59:U59"/>
    <mergeCell ref="G60:U60"/>
    <mergeCell ref="A1:Y1"/>
    <mergeCell ref="A2:Y2"/>
    <mergeCell ref="A4:Y4"/>
    <mergeCell ref="A5:Y5"/>
    <mergeCell ref="A6:Y6"/>
    <mergeCell ref="A58:D58"/>
    <mergeCell ref="A59:D59"/>
    <mergeCell ref="A60:D60"/>
  </mergeCells>
  <printOptions horizontalCentered="1"/>
  <pageMargins left="0.31496062992125984" right="0.31496062992125984" top="1.5748031496062993" bottom="0.98425196850393704" header="0.31496062992125984" footer="0.11811023622047245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EC0AD-8F40-4CA4-9556-77E392ADC0A2}">
  <sheetPr>
    <pageSetUpPr autoPageBreaks="0"/>
  </sheetPr>
  <dimension ref="A1:N56"/>
  <sheetViews>
    <sheetView showGridLines="0" view="pageBreakPreview" zoomScaleNormal="85" zoomScaleSheetLayoutView="100" zoomScalePageLayoutView="85" workbookViewId="0">
      <selection activeCell="H22" sqref="H22"/>
    </sheetView>
  </sheetViews>
  <sheetFormatPr defaultColWidth="8.85546875" defaultRowHeight="15" x14ac:dyDescent="0.25"/>
  <cols>
    <col min="1" max="1" width="2.7109375" style="182" customWidth="1"/>
    <col min="2" max="2" width="16.85546875" style="182" customWidth="1"/>
    <col min="3" max="3" width="2.85546875" style="182" customWidth="1"/>
    <col min="4" max="7" width="8.85546875" style="182"/>
    <col min="8" max="8" width="16.42578125" style="182" customWidth="1"/>
    <col min="9" max="9" width="14" style="185" bestFit="1" customWidth="1"/>
    <col min="10" max="10" width="2.7109375" style="182" customWidth="1"/>
    <col min="11" max="11" width="3.42578125" style="182" customWidth="1"/>
    <col min="12" max="12" width="16.85546875" style="183" bestFit="1" customWidth="1"/>
    <col min="15" max="16384" width="8.85546875" style="182"/>
  </cols>
  <sheetData>
    <row r="1" spans="1:14" x14ac:dyDescent="0.25">
      <c r="A1" s="311" t="str">
        <f>DFC!A3</f>
        <v>SUAPE COMPLEXO INDUSTRIAL PORTUÁRIO GOV. ERALDO GUEIROS</v>
      </c>
      <c r="B1" s="312"/>
      <c r="C1" s="312"/>
      <c r="D1" s="312"/>
      <c r="E1" s="312"/>
      <c r="F1" s="312"/>
      <c r="G1" s="312"/>
      <c r="H1" s="312"/>
      <c r="I1" s="312"/>
      <c r="J1" s="313"/>
    </row>
    <row r="2" spans="1:14" x14ac:dyDescent="0.25">
      <c r="A2" s="314" t="s">
        <v>2</v>
      </c>
      <c r="B2" s="315"/>
      <c r="C2" s="315"/>
      <c r="D2" s="315"/>
      <c r="E2" s="315"/>
      <c r="F2" s="315"/>
      <c r="G2" s="315"/>
      <c r="H2" s="315"/>
      <c r="I2" s="315"/>
      <c r="J2" s="316"/>
    </row>
    <row r="3" spans="1:14" x14ac:dyDescent="0.25">
      <c r="A3" s="184"/>
      <c r="J3" s="186"/>
    </row>
    <row r="4" spans="1:14" x14ac:dyDescent="0.25">
      <c r="A4" s="317" t="s">
        <v>2398</v>
      </c>
      <c r="B4" s="318"/>
      <c r="C4" s="318"/>
      <c r="D4" s="318"/>
      <c r="E4" s="318"/>
      <c r="F4" s="318"/>
      <c r="G4" s="318"/>
      <c r="H4" s="318"/>
      <c r="I4" s="318"/>
      <c r="J4" s="319"/>
    </row>
    <row r="5" spans="1:14" x14ac:dyDescent="0.25">
      <c r="A5" s="184"/>
      <c r="B5" s="182" t="s">
        <v>2399</v>
      </c>
      <c r="J5" s="186"/>
    </row>
    <row r="6" spans="1:14" x14ac:dyDescent="0.25">
      <c r="A6" s="184"/>
      <c r="J6" s="186"/>
    </row>
    <row r="7" spans="1:14" s="190" customFormat="1" ht="21.75" customHeight="1" x14ac:dyDescent="0.25">
      <c r="A7" s="187"/>
      <c r="B7" s="320" t="s">
        <v>2400</v>
      </c>
      <c r="C7" s="320"/>
      <c r="D7" s="320"/>
      <c r="E7" s="320"/>
      <c r="F7" s="320"/>
      <c r="G7" s="320"/>
      <c r="H7" s="320"/>
      <c r="I7" s="188">
        <f>BP!J11</f>
        <v>43465</v>
      </c>
      <c r="J7" s="189"/>
      <c r="L7" s="191">
        <f>I7</f>
        <v>43465</v>
      </c>
      <c r="M7" s="192"/>
      <c r="N7" s="192"/>
    </row>
    <row r="8" spans="1:14" ht="15.75" customHeight="1" x14ac:dyDescent="0.25">
      <c r="A8" s="184"/>
      <c r="B8" s="193" t="s">
        <v>2401</v>
      </c>
      <c r="C8" s="194"/>
      <c r="D8" s="194"/>
      <c r="E8" s="194"/>
      <c r="F8" s="194"/>
      <c r="G8" s="194"/>
      <c r="H8" s="194"/>
      <c r="I8" s="195"/>
      <c r="J8" s="186"/>
    </row>
    <row r="9" spans="1:14" ht="14.1" customHeight="1" x14ac:dyDescent="0.25">
      <c r="A9" s="184"/>
      <c r="D9" s="321" t="s">
        <v>1260</v>
      </c>
      <c r="E9" s="321"/>
      <c r="F9" s="321"/>
      <c r="G9" s="218"/>
      <c r="H9" s="196"/>
      <c r="I9" s="309">
        <f>ROUND(L9/L10,2)</f>
        <v>0.8</v>
      </c>
      <c r="J9" s="186"/>
      <c r="L9" s="197">
        <f>BP!J15</f>
        <v>111850277.41</v>
      </c>
    </row>
    <row r="10" spans="1:14" ht="14.1" customHeight="1" x14ac:dyDescent="0.25">
      <c r="A10" s="184"/>
      <c r="B10" s="198"/>
      <c r="C10" s="198"/>
      <c r="D10" s="322" t="s">
        <v>2402</v>
      </c>
      <c r="E10" s="322"/>
      <c r="F10" s="322"/>
      <c r="G10" s="219"/>
      <c r="H10" s="199"/>
      <c r="I10" s="310"/>
      <c r="J10" s="186"/>
      <c r="L10" s="200">
        <f>BP!$J$78</f>
        <v>140460999.63</v>
      </c>
    </row>
    <row r="11" spans="1:14" ht="15" customHeight="1" x14ac:dyDescent="0.25">
      <c r="A11" s="184"/>
      <c r="B11" s="201" t="s">
        <v>2403</v>
      </c>
      <c r="C11" s="202"/>
      <c r="D11" s="203"/>
      <c r="E11" s="203"/>
      <c r="F11" s="203"/>
      <c r="G11" s="203"/>
      <c r="H11" s="203"/>
      <c r="I11" s="204"/>
      <c r="J11" s="186"/>
      <c r="L11" s="200"/>
    </row>
    <row r="12" spans="1:14" ht="14.1" customHeight="1" x14ac:dyDescent="0.25">
      <c r="A12" s="184"/>
      <c r="B12" s="202"/>
      <c r="C12" s="202"/>
      <c r="D12" s="300" t="s">
        <v>2404</v>
      </c>
      <c r="E12" s="300"/>
      <c r="F12" s="300"/>
      <c r="G12" s="220"/>
      <c r="H12" s="203"/>
      <c r="I12" s="309">
        <f t="shared" ref="I12" si="0">ROUND(L12/L13,2)</f>
        <v>0.99</v>
      </c>
      <c r="J12" s="186"/>
      <c r="L12" s="197">
        <f>BP!J21</f>
        <v>139349628.57999998</v>
      </c>
    </row>
    <row r="13" spans="1:14" ht="14.1" customHeight="1" x14ac:dyDescent="0.25">
      <c r="A13" s="184"/>
      <c r="B13" s="205"/>
      <c r="C13" s="205"/>
      <c r="D13" s="308" t="s">
        <v>2402</v>
      </c>
      <c r="E13" s="308"/>
      <c r="F13" s="308"/>
      <c r="G13" s="221"/>
      <c r="H13" s="206"/>
      <c r="I13" s="310"/>
      <c r="J13" s="186"/>
      <c r="L13" s="200">
        <f>$L$10</f>
        <v>140460999.63</v>
      </c>
    </row>
    <row r="14" spans="1:14" ht="15" customHeight="1" x14ac:dyDescent="0.25">
      <c r="A14" s="184"/>
      <c r="B14" s="201" t="s">
        <v>2405</v>
      </c>
      <c r="C14" s="202"/>
      <c r="D14" s="203"/>
      <c r="E14" s="203"/>
      <c r="F14" s="203"/>
      <c r="G14" s="203"/>
      <c r="H14" s="203"/>
      <c r="I14" s="204"/>
      <c r="J14" s="186"/>
      <c r="L14" s="200"/>
    </row>
    <row r="15" spans="1:14" ht="14.1" customHeight="1" x14ac:dyDescent="0.25">
      <c r="A15" s="184"/>
      <c r="B15" s="202"/>
      <c r="C15" s="202"/>
      <c r="D15" s="300" t="s">
        <v>2406</v>
      </c>
      <c r="E15" s="300"/>
      <c r="F15" s="300"/>
      <c r="G15" s="220"/>
      <c r="H15" s="203"/>
      <c r="I15" s="309">
        <f t="shared" ref="I15" si="1">ROUND(L15/L16,2)</f>
        <v>0.99</v>
      </c>
      <c r="J15" s="186"/>
      <c r="L15" s="197">
        <f>L12</f>
        <v>139349628.57999998</v>
      </c>
    </row>
    <row r="16" spans="1:14" ht="14.1" customHeight="1" x14ac:dyDescent="0.25">
      <c r="A16" s="184"/>
      <c r="B16" s="205"/>
      <c r="C16" s="205"/>
      <c r="D16" s="308" t="s">
        <v>2402</v>
      </c>
      <c r="E16" s="308"/>
      <c r="F16" s="308"/>
      <c r="G16" s="221"/>
      <c r="H16" s="206"/>
      <c r="I16" s="310"/>
      <c r="J16" s="186"/>
      <c r="L16" s="200">
        <f>$L$10</f>
        <v>140460999.63</v>
      </c>
    </row>
    <row r="17" spans="1:12" ht="15" customHeight="1" x14ac:dyDescent="0.25">
      <c r="A17" s="184"/>
      <c r="B17" s="207" t="s">
        <v>2407</v>
      </c>
      <c r="C17" s="208"/>
      <c r="D17" s="209"/>
      <c r="E17" s="209"/>
      <c r="F17" s="209"/>
      <c r="G17" s="209"/>
      <c r="H17" s="209"/>
      <c r="I17" s="210"/>
      <c r="J17" s="186"/>
      <c r="L17" s="200"/>
    </row>
    <row r="18" spans="1:12" ht="14.1" customHeight="1" x14ac:dyDescent="0.25">
      <c r="A18" s="184"/>
      <c r="B18" s="202"/>
      <c r="C18" s="202"/>
      <c r="D18" s="300" t="s">
        <v>2408</v>
      </c>
      <c r="E18" s="300"/>
      <c r="F18" s="300"/>
      <c r="G18" s="300"/>
      <c r="H18" s="300"/>
      <c r="I18" s="309">
        <f t="shared" ref="I18" si="2">ROUND(L18/L19,2)</f>
        <v>0.11</v>
      </c>
      <c r="J18" s="211"/>
      <c r="K18" s="212"/>
      <c r="L18" s="197">
        <f>BP!J21+BP!J29</f>
        <v>178924038.48999998</v>
      </c>
    </row>
    <row r="19" spans="1:12" ht="14.1" customHeight="1" x14ac:dyDescent="0.25">
      <c r="A19" s="184"/>
      <c r="B19" s="205"/>
      <c r="C19" s="205"/>
      <c r="D19" s="308" t="s">
        <v>2409</v>
      </c>
      <c r="E19" s="308"/>
      <c r="F19" s="308"/>
      <c r="G19" s="308"/>
      <c r="H19" s="308"/>
      <c r="I19" s="310"/>
      <c r="J19" s="186"/>
      <c r="L19" s="200">
        <f>BP!J78+BP!J87</f>
        <v>1656372249.8699999</v>
      </c>
    </row>
    <row r="20" spans="1:12" ht="15" customHeight="1" x14ac:dyDescent="0.25">
      <c r="A20" s="184"/>
      <c r="B20" s="207" t="s">
        <v>2410</v>
      </c>
      <c r="C20" s="208"/>
      <c r="D20" s="209"/>
      <c r="E20" s="209"/>
      <c r="F20" s="209"/>
      <c r="G20" s="209"/>
      <c r="H20" s="209"/>
      <c r="I20" s="210"/>
      <c r="J20" s="213"/>
      <c r="K20" s="214"/>
      <c r="L20" s="200"/>
    </row>
    <row r="21" spans="1:12" ht="14.1" customHeight="1" x14ac:dyDescent="0.25">
      <c r="A21" s="184"/>
      <c r="B21" s="202"/>
      <c r="C21" s="202"/>
      <c r="D21" s="300" t="s">
        <v>2411</v>
      </c>
      <c r="E21" s="300"/>
      <c r="F21" s="300"/>
      <c r="G21" s="220"/>
      <c r="H21" s="203"/>
      <c r="I21" s="309">
        <f t="shared" ref="I21" si="3">ROUND(L21/L22,2)</f>
        <v>2.35</v>
      </c>
      <c r="J21" s="186"/>
      <c r="L21" s="197">
        <f>BP!J44</f>
        <v>5400933599.9899998</v>
      </c>
    </row>
    <row r="22" spans="1:12" ht="14.1" customHeight="1" x14ac:dyDescent="0.25">
      <c r="A22" s="184"/>
      <c r="B22" s="205"/>
      <c r="C22" s="205"/>
      <c r="D22" s="308" t="s">
        <v>2412</v>
      </c>
      <c r="E22" s="308"/>
      <c r="F22" s="308"/>
      <c r="G22" s="221"/>
      <c r="H22" s="206"/>
      <c r="I22" s="310"/>
      <c r="J22" s="186"/>
      <c r="L22" s="200">
        <f>BP!J78+BP!J89</f>
        <v>2300724889.3100004</v>
      </c>
    </row>
    <row r="23" spans="1:12" ht="15" customHeight="1" x14ac:dyDescent="0.25">
      <c r="A23" s="184"/>
      <c r="B23" s="201" t="s">
        <v>2413</v>
      </c>
      <c r="C23" s="202"/>
      <c r="D23" s="203"/>
      <c r="E23" s="203"/>
      <c r="F23" s="203"/>
      <c r="G23" s="203"/>
      <c r="H23" s="203"/>
      <c r="I23" s="204"/>
      <c r="J23" s="186"/>
      <c r="L23" s="200"/>
    </row>
    <row r="24" spans="1:12" ht="14.1" customHeight="1" x14ac:dyDescent="0.25">
      <c r="A24" s="184"/>
      <c r="B24" s="202"/>
      <c r="C24" s="202"/>
      <c r="D24" s="300" t="s">
        <v>2414</v>
      </c>
      <c r="E24" s="300"/>
      <c r="F24" s="300"/>
      <c r="G24" s="220"/>
      <c r="H24" s="301"/>
      <c r="I24" s="309">
        <f t="shared" ref="I24" si="4">ROUND(L24/L25,2)</f>
        <v>0.31</v>
      </c>
      <c r="J24" s="186"/>
      <c r="L24" s="197">
        <f>L19</f>
        <v>1656372249.8699999</v>
      </c>
    </row>
    <row r="25" spans="1:12" ht="14.1" customHeight="1" x14ac:dyDescent="0.25">
      <c r="A25" s="184"/>
      <c r="B25" s="205"/>
      <c r="C25" s="205"/>
      <c r="D25" s="308" t="s">
        <v>2411</v>
      </c>
      <c r="E25" s="308"/>
      <c r="F25" s="308"/>
      <c r="G25" s="221"/>
      <c r="H25" s="306"/>
      <c r="I25" s="310"/>
      <c r="J25" s="186"/>
      <c r="L25" s="200">
        <f>L21</f>
        <v>5400933599.9899998</v>
      </c>
    </row>
    <row r="26" spans="1:12" ht="15" customHeight="1" x14ac:dyDescent="0.25">
      <c r="A26" s="184"/>
      <c r="B26" s="201" t="s">
        <v>2415</v>
      </c>
      <c r="C26" s="202"/>
      <c r="D26" s="203"/>
      <c r="E26" s="203"/>
      <c r="F26" s="203"/>
      <c r="G26" s="203"/>
      <c r="H26" s="203"/>
      <c r="I26" s="203"/>
      <c r="J26" s="186"/>
      <c r="L26" s="200"/>
    </row>
    <row r="27" spans="1:12" ht="14.1" customHeight="1" x14ac:dyDescent="0.25">
      <c r="A27" s="184"/>
      <c r="B27" s="202"/>
      <c r="C27" s="202"/>
      <c r="D27" s="300" t="s">
        <v>2416</v>
      </c>
      <c r="E27" s="300"/>
      <c r="F27" s="300"/>
      <c r="G27" s="220"/>
      <c r="H27" s="301" t="s">
        <v>2417</v>
      </c>
      <c r="I27" s="303" t="e">
        <f t="shared" ref="I27" si="5">ROUND(L27/L28,2)</f>
        <v>#REF!</v>
      </c>
      <c r="J27" s="186"/>
      <c r="L27" s="197" t="e">
        <f>DRE!#REF!</f>
        <v>#REF!</v>
      </c>
    </row>
    <row r="28" spans="1:12" ht="14.1" customHeight="1" x14ac:dyDescent="0.25">
      <c r="A28" s="184"/>
      <c r="B28" s="205"/>
      <c r="C28" s="205"/>
      <c r="D28" s="308" t="s">
        <v>2418</v>
      </c>
      <c r="E28" s="308"/>
      <c r="F28" s="308"/>
      <c r="G28" s="221"/>
      <c r="H28" s="306"/>
      <c r="I28" s="307"/>
      <c r="J28" s="186"/>
      <c r="L28" s="200">
        <f>BP!J97</f>
        <v>3100208710.6799998</v>
      </c>
    </row>
    <row r="29" spans="1:12" ht="15" customHeight="1" x14ac:dyDescent="0.25">
      <c r="A29" s="184"/>
      <c r="B29" s="201" t="s">
        <v>2419</v>
      </c>
      <c r="C29" s="202"/>
      <c r="D29" s="203"/>
      <c r="E29" s="203"/>
      <c r="F29" s="203"/>
      <c r="G29" s="203"/>
      <c r="H29" s="203"/>
      <c r="I29" s="203"/>
      <c r="J29" s="186"/>
      <c r="L29" s="200"/>
    </row>
    <row r="30" spans="1:12" ht="14.1" customHeight="1" x14ac:dyDescent="0.25">
      <c r="A30" s="184"/>
      <c r="B30" s="202"/>
      <c r="C30" s="202"/>
      <c r="D30" s="300" t="s">
        <v>2420</v>
      </c>
      <c r="E30" s="300"/>
      <c r="F30" s="300"/>
      <c r="G30" s="220"/>
      <c r="H30" s="301" t="s">
        <v>2417</v>
      </c>
      <c r="I30" s="303" t="e">
        <f t="shared" ref="I30" si="6">ROUND(L30/L31,2)</f>
        <v>#REF!</v>
      </c>
      <c r="J30" s="186"/>
      <c r="L30" s="197" t="e">
        <f>DRE!#REF!</f>
        <v>#REF!</v>
      </c>
    </row>
    <row r="31" spans="1:12" ht="14.1" customHeight="1" x14ac:dyDescent="0.25">
      <c r="A31" s="184"/>
      <c r="B31" s="205"/>
      <c r="C31" s="205"/>
      <c r="D31" s="308" t="s">
        <v>2421</v>
      </c>
      <c r="E31" s="308"/>
      <c r="F31" s="308"/>
      <c r="G31" s="221"/>
      <c r="H31" s="306"/>
      <c r="I31" s="307"/>
      <c r="J31" s="186"/>
      <c r="L31" s="200" t="e">
        <f>DRE!#REF!</f>
        <v>#REF!</v>
      </c>
    </row>
    <row r="32" spans="1:12" ht="15" customHeight="1" x14ac:dyDescent="0.25">
      <c r="A32" s="184"/>
      <c r="B32" s="201" t="s">
        <v>2422</v>
      </c>
      <c r="C32" s="202"/>
      <c r="D32" s="203"/>
      <c r="E32" s="203"/>
      <c r="F32" s="203"/>
      <c r="G32" s="203"/>
      <c r="H32" s="203"/>
      <c r="I32" s="203"/>
      <c r="J32" s="186"/>
      <c r="L32" s="200"/>
    </row>
    <row r="33" spans="1:12" ht="14.1" customHeight="1" x14ac:dyDescent="0.25">
      <c r="A33" s="184"/>
      <c r="B33" s="202"/>
      <c r="C33" s="202"/>
      <c r="D33" s="300" t="s">
        <v>2416</v>
      </c>
      <c r="E33" s="300"/>
      <c r="F33" s="300"/>
      <c r="G33" s="220"/>
      <c r="H33" s="301" t="s">
        <v>2417</v>
      </c>
      <c r="I33" s="303" t="e">
        <f t="shared" ref="I33" si="7">ROUND(L33/L34,2)</f>
        <v>#REF!</v>
      </c>
      <c r="J33" s="186"/>
      <c r="L33" s="197" t="e">
        <f>DRE!#REF!</f>
        <v>#REF!</v>
      </c>
    </row>
    <row r="34" spans="1:12" ht="14.1" customHeight="1" x14ac:dyDescent="0.25">
      <c r="A34" s="184"/>
      <c r="B34" s="205"/>
      <c r="C34" s="205"/>
      <c r="D34" s="308" t="s">
        <v>2421</v>
      </c>
      <c r="E34" s="308"/>
      <c r="F34" s="308"/>
      <c r="G34" s="221"/>
      <c r="H34" s="306"/>
      <c r="I34" s="307"/>
      <c r="J34" s="186"/>
      <c r="L34" s="200" t="e">
        <f>L31</f>
        <v>#REF!</v>
      </c>
    </row>
    <row r="35" spans="1:12" ht="15" customHeight="1" x14ac:dyDescent="0.25">
      <c r="A35" s="184"/>
      <c r="B35" s="201" t="s">
        <v>2423</v>
      </c>
      <c r="C35" s="202"/>
      <c r="D35" s="203"/>
      <c r="E35" s="203"/>
      <c r="F35" s="203"/>
      <c r="G35" s="203"/>
      <c r="H35" s="203"/>
      <c r="I35" s="203"/>
      <c r="J35" s="186"/>
      <c r="L35" s="200"/>
    </row>
    <row r="36" spans="1:12" ht="14.1" customHeight="1" x14ac:dyDescent="0.25">
      <c r="A36" s="184"/>
      <c r="B36" s="202"/>
      <c r="C36" s="202"/>
      <c r="D36" s="300" t="s">
        <v>2420</v>
      </c>
      <c r="E36" s="300"/>
      <c r="F36" s="300"/>
      <c r="G36" s="220"/>
      <c r="H36" s="301" t="s">
        <v>2417</v>
      </c>
      <c r="I36" s="303" t="e">
        <f t="shared" ref="I36" si="8">ROUND(L36/L37,2)</f>
        <v>#REF!</v>
      </c>
      <c r="J36" s="186"/>
      <c r="L36" s="197" t="e">
        <f>L30</f>
        <v>#REF!</v>
      </c>
    </row>
    <row r="37" spans="1:12" ht="14.1" customHeight="1" x14ac:dyDescent="0.25">
      <c r="A37" s="184"/>
      <c r="B37" s="205"/>
      <c r="C37" s="205"/>
      <c r="D37" s="308" t="s">
        <v>2411</v>
      </c>
      <c r="E37" s="308"/>
      <c r="F37" s="308"/>
      <c r="G37" s="221"/>
      <c r="H37" s="306"/>
      <c r="I37" s="307"/>
      <c r="J37" s="186"/>
      <c r="L37" s="200">
        <f>L21</f>
        <v>5400933599.9899998</v>
      </c>
    </row>
    <row r="38" spans="1:12" ht="15" customHeight="1" x14ac:dyDescent="0.25">
      <c r="A38" s="184"/>
      <c r="B38" s="201" t="s">
        <v>2424</v>
      </c>
      <c r="C38" s="202"/>
      <c r="D38" s="203"/>
      <c r="E38" s="203"/>
      <c r="F38" s="203"/>
      <c r="G38" s="203"/>
      <c r="H38" s="203"/>
      <c r="I38" s="203"/>
      <c r="J38" s="186"/>
      <c r="L38" s="200"/>
    </row>
    <row r="39" spans="1:12" ht="14.1" customHeight="1" x14ac:dyDescent="0.25">
      <c r="A39" s="184"/>
      <c r="B39" s="202"/>
      <c r="C39" s="202"/>
      <c r="D39" s="300" t="s">
        <v>2409</v>
      </c>
      <c r="E39" s="300"/>
      <c r="F39" s="300"/>
      <c r="G39" s="220"/>
      <c r="H39" s="301" t="s">
        <v>2417</v>
      </c>
      <c r="I39" s="303">
        <f t="shared" ref="I39" si="9">ROUND(L39/L40,2)</f>
        <v>0.53</v>
      </c>
      <c r="J39" s="186"/>
      <c r="L39" s="197">
        <f>L24</f>
        <v>1656372249.8699999</v>
      </c>
    </row>
    <row r="40" spans="1:12" ht="14.1" customHeight="1" x14ac:dyDescent="0.25">
      <c r="A40" s="184"/>
      <c r="B40" s="205"/>
      <c r="C40" s="205"/>
      <c r="D40" s="308" t="s">
        <v>2418</v>
      </c>
      <c r="E40" s="308"/>
      <c r="F40" s="308"/>
      <c r="G40" s="221"/>
      <c r="H40" s="306"/>
      <c r="I40" s="307"/>
      <c r="J40" s="186"/>
      <c r="L40" s="200">
        <f>L28</f>
        <v>3100208710.6799998</v>
      </c>
    </row>
    <row r="41" spans="1:12" ht="15" customHeight="1" x14ac:dyDescent="0.25">
      <c r="A41" s="184"/>
      <c r="B41" s="201" t="s">
        <v>2425</v>
      </c>
      <c r="C41" s="202"/>
      <c r="D41" s="203"/>
      <c r="E41" s="203"/>
      <c r="F41" s="203"/>
      <c r="G41" s="203"/>
      <c r="H41" s="203"/>
      <c r="I41" s="203"/>
      <c r="J41" s="186"/>
      <c r="L41" s="200"/>
    </row>
    <row r="42" spans="1:12" ht="14.1" customHeight="1" x14ac:dyDescent="0.25">
      <c r="A42" s="184"/>
      <c r="B42" s="202"/>
      <c r="C42" s="202"/>
      <c r="D42" s="300" t="s">
        <v>2409</v>
      </c>
      <c r="E42" s="300"/>
      <c r="F42" s="300"/>
      <c r="G42" s="220"/>
      <c r="H42" s="301" t="s">
        <v>2417</v>
      </c>
      <c r="I42" s="303">
        <f t="shared" ref="I42" si="10">ROUND(L42/L43,2)</f>
        <v>0.32</v>
      </c>
      <c r="J42" s="186"/>
      <c r="L42" s="197">
        <f>L39</f>
        <v>1656372249.8699999</v>
      </c>
    </row>
    <row r="43" spans="1:12" ht="14.1" customHeight="1" thickBot="1" x14ac:dyDescent="0.3">
      <c r="A43" s="215"/>
      <c r="B43" s="216"/>
      <c r="C43" s="216"/>
      <c r="D43" s="305" t="s">
        <v>2426</v>
      </c>
      <c r="E43" s="305"/>
      <c r="F43" s="305"/>
      <c r="G43" s="222"/>
      <c r="H43" s="302"/>
      <c r="I43" s="304"/>
      <c r="J43" s="217"/>
      <c r="L43" s="200">
        <f>BP!J37+BP!J41</f>
        <v>5221971987.4499998</v>
      </c>
    </row>
    <row r="44" spans="1:12" x14ac:dyDescent="0.25">
      <c r="I44" s="182"/>
      <c r="L44" s="200"/>
    </row>
    <row r="45" spans="1:12" customFormat="1" ht="30.75" customHeight="1" x14ac:dyDescent="0.25">
      <c r="L45" s="200"/>
    </row>
    <row r="46" spans="1:12" customFormat="1" ht="27" customHeight="1" x14ac:dyDescent="0.25">
      <c r="L46" s="200"/>
    </row>
    <row r="47" spans="1:12" customFormat="1" ht="15" customHeight="1" x14ac:dyDescent="0.25">
      <c r="L47" s="200"/>
    </row>
    <row r="48" spans="1:12" customFormat="1" x14ac:dyDescent="0.25">
      <c r="L48" s="183"/>
    </row>
    <row r="49" spans="12:12" customFormat="1" x14ac:dyDescent="0.25">
      <c r="L49" s="183"/>
    </row>
    <row r="50" spans="12:12" customFormat="1" x14ac:dyDescent="0.25">
      <c r="L50" s="183"/>
    </row>
    <row r="51" spans="12:12" customFormat="1" x14ac:dyDescent="0.25">
      <c r="L51" s="183"/>
    </row>
    <row r="52" spans="12:12" customFormat="1" x14ac:dyDescent="0.25">
      <c r="L52" s="183"/>
    </row>
    <row r="53" spans="12:12" customFormat="1" x14ac:dyDescent="0.25">
      <c r="L53" s="183"/>
    </row>
    <row r="54" spans="12:12" customFormat="1" x14ac:dyDescent="0.25">
      <c r="L54" s="183"/>
    </row>
    <row r="55" spans="12:12" customFormat="1" x14ac:dyDescent="0.25">
      <c r="L55" s="183"/>
    </row>
    <row r="56" spans="12:12" customFormat="1" x14ac:dyDescent="0.25">
      <c r="L56" s="183"/>
    </row>
  </sheetData>
  <mergeCells count="47">
    <mergeCell ref="A1:J1"/>
    <mergeCell ref="A2:J2"/>
    <mergeCell ref="A4:J4"/>
    <mergeCell ref="B7:H7"/>
    <mergeCell ref="D9:F9"/>
    <mergeCell ref="I9:I10"/>
    <mergeCell ref="D10:F10"/>
    <mergeCell ref="D12:F12"/>
    <mergeCell ref="I12:I13"/>
    <mergeCell ref="D13:F13"/>
    <mergeCell ref="D15:F15"/>
    <mergeCell ref="I15:I16"/>
    <mergeCell ref="D16:F16"/>
    <mergeCell ref="D18:H18"/>
    <mergeCell ref="I18:I19"/>
    <mergeCell ref="D19:H19"/>
    <mergeCell ref="D21:F21"/>
    <mergeCell ref="I21:I22"/>
    <mergeCell ref="D22:F22"/>
    <mergeCell ref="D24:F24"/>
    <mergeCell ref="H24:H25"/>
    <mergeCell ref="I24:I25"/>
    <mergeCell ref="D25:F25"/>
    <mergeCell ref="D27:F27"/>
    <mergeCell ref="H27:H28"/>
    <mergeCell ref="I27:I28"/>
    <mergeCell ref="D28:F28"/>
    <mergeCell ref="D30:F30"/>
    <mergeCell ref="H30:H31"/>
    <mergeCell ref="I30:I31"/>
    <mergeCell ref="D31:F31"/>
    <mergeCell ref="D33:F33"/>
    <mergeCell ref="H33:H34"/>
    <mergeCell ref="I33:I34"/>
    <mergeCell ref="D34:F34"/>
    <mergeCell ref="D42:F42"/>
    <mergeCell ref="H42:H43"/>
    <mergeCell ref="I42:I43"/>
    <mergeCell ref="D43:F43"/>
    <mergeCell ref="D36:F36"/>
    <mergeCell ref="H36:H37"/>
    <mergeCell ref="I36:I37"/>
    <mergeCell ref="D37:F37"/>
    <mergeCell ref="D39:F39"/>
    <mergeCell ref="H39:H40"/>
    <mergeCell ref="I39:I40"/>
    <mergeCell ref="D40:F40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004"/>
  <sheetViews>
    <sheetView zoomScale="80" zoomScaleNormal="80" workbookViewId="0">
      <pane ySplit="4" topLeftCell="A5" activePane="bottomLeft" state="frozen"/>
      <selection activeCell="B750" sqref="B750:D750"/>
      <selection pane="bottomLeft" activeCell="B750" sqref="B750:D750"/>
    </sheetView>
  </sheetViews>
  <sheetFormatPr defaultRowHeight="15" x14ac:dyDescent="0.25"/>
  <cols>
    <col min="1" max="1" width="17.28515625" bestFit="1" customWidth="1"/>
    <col min="2" max="2" width="10.5703125" bestFit="1" customWidth="1"/>
    <col min="3" max="3" width="43.85546875" bestFit="1" customWidth="1"/>
    <col min="4" max="4" width="17.28515625" bestFit="1" customWidth="1"/>
    <col min="5" max="5" width="2.140625" bestFit="1" customWidth="1"/>
    <col min="6" max="6" width="17.28515625" bestFit="1" customWidth="1"/>
    <col min="7" max="7" width="2.42578125" bestFit="1" customWidth="1"/>
    <col min="8" max="8" width="17.28515625" bestFit="1" customWidth="1"/>
    <col min="9" max="9" width="2.7109375" bestFit="1" customWidth="1"/>
    <col min="10" max="10" width="17.28515625" bestFit="1" customWidth="1"/>
    <col min="11" max="11" width="2.42578125" bestFit="1" customWidth="1"/>
    <col min="12" max="12" width="20" customWidth="1"/>
    <col min="13" max="13" width="3.5703125" style="5" customWidth="1"/>
    <col min="14" max="14" width="26.7109375" style="6" bestFit="1" customWidth="1"/>
    <col min="15" max="15" width="3" style="5" customWidth="1"/>
    <col min="16" max="16" width="26.7109375" style="6" bestFit="1" customWidth="1"/>
    <col min="17" max="257" width="9.140625" style="5"/>
    <col min="258" max="258" width="14.42578125" style="5" bestFit="1" customWidth="1"/>
    <col min="259" max="259" width="8.7109375" style="5" bestFit="1" customWidth="1"/>
    <col min="260" max="260" width="36.7109375" style="5" bestFit="1" customWidth="1"/>
    <col min="261" max="261" width="15" style="5" bestFit="1" customWidth="1"/>
    <col min="262" max="262" width="5.140625" style="5" bestFit="1" customWidth="1"/>
    <col min="263" max="263" width="15" style="5" bestFit="1" customWidth="1"/>
    <col min="264" max="264" width="5.140625" style="5" bestFit="1" customWidth="1"/>
    <col min="265" max="265" width="15" style="5" bestFit="1" customWidth="1"/>
    <col min="266" max="266" width="5.140625" style="5" bestFit="1" customWidth="1"/>
    <col min="267" max="267" width="15" style="5" bestFit="1" customWidth="1"/>
    <col min="268" max="268" width="2.140625" style="5" bestFit="1" customWidth="1"/>
    <col min="269" max="269" width="9.140625" style="5"/>
    <col min="270" max="270" width="11.140625" style="5" bestFit="1" customWidth="1"/>
    <col min="271" max="513" width="9.140625" style="5"/>
    <col min="514" max="514" width="14.42578125" style="5" bestFit="1" customWidth="1"/>
    <col min="515" max="515" width="8.7109375" style="5" bestFit="1" customWidth="1"/>
    <col min="516" max="516" width="36.7109375" style="5" bestFit="1" customWidth="1"/>
    <col min="517" max="517" width="15" style="5" bestFit="1" customWidth="1"/>
    <col min="518" max="518" width="5.140625" style="5" bestFit="1" customWidth="1"/>
    <col min="519" max="519" width="15" style="5" bestFit="1" customWidth="1"/>
    <col min="520" max="520" width="5.140625" style="5" bestFit="1" customWidth="1"/>
    <col min="521" max="521" width="15" style="5" bestFit="1" customWidth="1"/>
    <col min="522" max="522" width="5.140625" style="5" bestFit="1" customWidth="1"/>
    <col min="523" max="523" width="15" style="5" bestFit="1" customWidth="1"/>
    <col min="524" max="524" width="2.140625" style="5" bestFit="1" customWidth="1"/>
    <col min="525" max="525" width="9.140625" style="5"/>
    <col min="526" max="526" width="11.140625" style="5" bestFit="1" customWidth="1"/>
    <col min="527" max="769" width="9.140625" style="5"/>
    <col min="770" max="770" width="14.42578125" style="5" bestFit="1" customWidth="1"/>
    <col min="771" max="771" width="8.7109375" style="5" bestFit="1" customWidth="1"/>
    <col min="772" max="772" width="36.7109375" style="5" bestFit="1" customWidth="1"/>
    <col min="773" max="773" width="15" style="5" bestFit="1" customWidth="1"/>
    <col min="774" max="774" width="5.140625" style="5" bestFit="1" customWidth="1"/>
    <col min="775" max="775" width="15" style="5" bestFit="1" customWidth="1"/>
    <col min="776" max="776" width="5.140625" style="5" bestFit="1" customWidth="1"/>
    <col min="777" max="777" width="15" style="5" bestFit="1" customWidth="1"/>
    <col min="778" max="778" width="5.140625" style="5" bestFit="1" customWidth="1"/>
    <col min="779" max="779" width="15" style="5" bestFit="1" customWidth="1"/>
    <col min="780" max="780" width="2.140625" style="5" bestFit="1" customWidth="1"/>
    <col min="781" max="781" width="9.140625" style="5"/>
    <col min="782" max="782" width="11.140625" style="5" bestFit="1" customWidth="1"/>
    <col min="783" max="1025" width="9.140625" style="5"/>
    <col min="1026" max="1026" width="14.42578125" style="5" bestFit="1" customWidth="1"/>
    <col min="1027" max="1027" width="8.7109375" style="5" bestFit="1" customWidth="1"/>
    <col min="1028" max="1028" width="36.7109375" style="5" bestFit="1" customWidth="1"/>
    <col min="1029" max="1029" width="15" style="5" bestFit="1" customWidth="1"/>
    <col min="1030" max="1030" width="5.140625" style="5" bestFit="1" customWidth="1"/>
    <col min="1031" max="1031" width="15" style="5" bestFit="1" customWidth="1"/>
    <col min="1032" max="1032" width="5.140625" style="5" bestFit="1" customWidth="1"/>
    <col min="1033" max="1033" width="15" style="5" bestFit="1" customWidth="1"/>
    <col min="1034" max="1034" width="5.140625" style="5" bestFit="1" customWidth="1"/>
    <col min="1035" max="1035" width="15" style="5" bestFit="1" customWidth="1"/>
    <col min="1036" max="1036" width="2.140625" style="5" bestFit="1" customWidth="1"/>
    <col min="1037" max="1037" width="9.140625" style="5"/>
    <col min="1038" max="1038" width="11.140625" style="5" bestFit="1" customWidth="1"/>
    <col min="1039" max="1281" width="9.140625" style="5"/>
    <col min="1282" max="1282" width="14.42578125" style="5" bestFit="1" customWidth="1"/>
    <col min="1283" max="1283" width="8.7109375" style="5" bestFit="1" customWidth="1"/>
    <col min="1284" max="1284" width="36.7109375" style="5" bestFit="1" customWidth="1"/>
    <col min="1285" max="1285" width="15" style="5" bestFit="1" customWidth="1"/>
    <col min="1286" max="1286" width="5.140625" style="5" bestFit="1" customWidth="1"/>
    <col min="1287" max="1287" width="15" style="5" bestFit="1" customWidth="1"/>
    <col min="1288" max="1288" width="5.140625" style="5" bestFit="1" customWidth="1"/>
    <col min="1289" max="1289" width="15" style="5" bestFit="1" customWidth="1"/>
    <col min="1290" max="1290" width="5.140625" style="5" bestFit="1" customWidth="1"/>
    <col min="1291" max="1291" width="15" style="5" bestFit="1" customWidth="1"/>
    <col min="1292" max="1292" width="2.140625" style="5" bestFit="1" customWidth="1"/>
    <col min="1293" max="1293" width="9.140625" style="5"/>
    <col min="1294" max="1294" width="11.140625" style="5" bestFit="1" customWidth="1"/>
    <col min="1295" max="1537" width="9.140625" style="5"/>
    <col min="1538" max="1538" width="14.42578125" style="5" bestFit="1" customWidth="1"/>
    <col min="1539" max="1539" width="8.7109375" style="5" bestFit="1" customWidth="1"/>
    <col min="1540" max="1540" width="36.7109375" style="5" bestFit="1" customWidth="1"/>
    <col min="1541" max="1541" width="15" style="5" bestFit="1" customWidth="1"/>
    <col min="1542" max="1542" width="5.140625" style="5" bestFit="1" customWidth="1"/>
    <col min="1543" max="1543" width="15" style="5" bestFit="1" customWidth="1"/>
    <col min="1544" max="1544" width="5.140625" style="5" bestFit="1" customWidth="1"/>
    <col min="1545" max="1545" width="15" style="5" bestFit="1" customWidth="1"/>
    <col min="1546" max="1546" width="5.140625" style="5" bestFit="1" customWidth="1"/>
    <col min="1547" max="1547" width="15" style="5" bestFit="1" customWidth="1"/>
    <col min="1548" max="1548" width="2.140625" style="5" bestFit="1" customWidth="1"/>
    <col min="1549" max="1549" width="9.140625" style="5"/>
    <col min="1550" max="1550" width="11.140625" style="5" bestFit="1" customWidth="1"/>
    <col min="1551" max="1793" width="9.140625" style="5"/>
    <col min="1794" max="1794" width="14.42578125" style="5" bestFit="1" customWidth="1"/>
    <col min="1795" max="1795" width="8.7109375" style="5" bestFit="1" customWidth="1"/>
    <col min="1796" max="1796" width="36.7109375" style="5" bestFit="1" customWidth="1"/>
    <col min="1797" max="1797" width="15" style="5" bestFit="1" customWidth="1"/>
    <col min="1798" max="1798" width="5.140625" style="5" bestFit="1" customWidth="1"/>
    <col min="1799" max="1799" width="15" style="5" bestFit="1" customWidth="1"/>
    <col min="1800" max="1800" width="5.140625" style="5" bestFit="1" customWidth="1"/>
    <col min="1801" max="1801" width="15" style="5" bestFit="1" customWidth="1"/>
    <col min="1802" max="1802" width="5.140625" style="5" bestFit="1" customWidth="1"/>
    <col min="1803" max="1803" width="15" style="5" bestFit="1" customWidth="1"/>
    <col min="1804" max="1804" width="2.140625" style="5" bestFit="1" customWidth="1"/>
    <col min="1805" max="1805" width="9.140625" style="5"/>
    <col min="1806" max="1806" width="11.140625" style="5" bestFit="1" customWidth="1"/>
    <col min="1807" max="2049" width="9.140625" style="5"/>
    <col min="2050" max="2050" width="14.42578125" style="5" bestFit="1" customWidth="1"/>
    <col min="2051" max="2051" width="8.7109375" style="5" bestFit="1" customWidth="1"/>
    <col min="2052" max="2052" width="36.7109375" style="5" bestFit="1" customWidth="1"/>
    <col min="2053" max="2053" width="15" style="5" bestFit="1" customWidth="1"/>
    <col min="2054" max="2054" width="5.140625" style="5" bestFit="1" customWidth="1"/>
    <col min="2055" max="2055" width="15" style="5" bestFit="1" customWidth="1"/>
    <col min="2056" max="2056" width="5.140625" style="5" bestFit="1" customWidth="1"/>
    <col min="2057" max="2057" width="15" style="5" bestFit="1" customWidth="1"/>
    <col min="2058" max="2058" width="5.140625" style="5" bestFit="1" customWidth="1"/>
    <col min="2059" max="2059" width="15" style="5" bestFit="1" customWidth="1"/>
    <col min="2060" max="2060" width="2.140625" style="5" bestFit="1" customWidth="1"/>
    <col min="2061" max="2061" width="9.140625" style="5"/>
    <col min="2062" max="2062" width="11.140625" style="5" bestFit="1" customWidth="1"/>
    <col min="2063" max="2305" width="9.140625" style="5"/>
    <col min="2306" max="2306" width="14.42578125" style="5" bestFit="1" customWidth="1"/>
    <col min="2307" max="2307" width="8.7109375" style="5" bestFit="1" customWidth="1"/>
    <col min="2308" max="2308" width="36.7109375" style="5" bestFit="1" customWidth="1"/>
    <col min="2309" max="2309" width="15" style="5" bestFit="1" customWidth="1"/>
    <col min="2310" max="2310" width="5.140625" style="5" bestFit="1" customWidth="1"/>
    <col min="2311" max="2311" width="15" style="5" bestFit="1" customWidth="1"/>
    <col min="2312" max="2312" width="5.140625" style="5" bestFit="1" customWidth="1"/>
    <col min="2313" max="2313" width="15" style="5" bestFit="1" customWidth="1"/>
    <col min="2314" max="2314" width="5.140625" style="5" bestFit="1" customWidth="1"/>
    <col min="2315" max="2315" width="15" style="5" bestFit="1" customWidth="1"/>
    <col min="2316" max="2316" width="2.140625" style="5" bestFit="1" customWidth="1"/>
    <col min="2317" max="2317" width="9.140625" style="5"/>
    <col min="2318" max="2318" width="11.140625" style="5" bestFit="1" customWidth="1"/>
    <col min="2319" max="2561" width="9.140625" style="5"/>
    <col min="2562" max="2562" width="14.42578125" style="5" bestFit="1" customWidth="1"/>
    <col min="2563" max="2563" width="8.7109375" style="5" bestFit="1" customWidth="1"/>
    <col min="2564" max="2564" width="36.7109375" style="5" bestFit="1" customWidth="1"/>
    <col min="2565" max="2565" width="15" style="5" bestFit="1" customWidth="1"/>
    <col min="2566" max="2566" width="5.140625" style="5" bestFit="1" customWidth="1"/>
    <col min="2567" max="2567" width="15" style="5" bestFit="1" customWidth="1"/>
    <col min="2568" max="2568" width="5.140625" style="5" bestFit="1" customWidth="1"/>
    <col min="2569" max="2569" width="15" style="5" bestFit="1" customWidth="1"/>
    <col min="2570" max="2570" width="5.140625" style="5" bestFit="1" customWidth="1"/>
    <col min="2571" max="2571" width="15" style="5" bestFit="1" customWidth="1"/>
    <col min="2572" max="2572" width="2.140625" style="5" bestFit="1" customWidth="1"/>
    <col min="2573" max="2573" width="9.140625" style="5"/>
    <col min="2574" max="2574" width="11.140625" style="5" bestFit="1" customWidth="1"/>
    <col min="2575" max="2817" width="9.140625" style="5"/>
    <col min="2818" max="2818" width="14.42578125" style="5" bestFit="1" customWidth="1"/>
    <col min="2819" max="2819" width="8.7109375" style="5" bestFit="1" customWidth="1"/>
    <col min="2820" max="2820" width="36.7109375" style="5" bestFit="1" customWidth="1"/>
    <col min="2821" max="2821" width="15" style="5" bestFit="1" customWidth="1"/>
    <col min="2822" max="2822" width="5.140625" style="5" bestFit="1" customWidth="1"/>
    <col min="2823" max="2823" width="15" style="5" bestFit="1" customWidth="1"/>
    <col min="2824" max="2824" width="5.140625" style="5" bestFit="1" customWidth="1"/>
    <col min="2825" max="2825" width="15" style="5" bestFit="1" customWidth="1"/>
    <col min="2826" max="2826" width="5.140625" style="5" bestFit="1" customWidth="1"/>
    <col min="2827" max="2827" width="15" style="5" bestFit="1" customWidth="1"/>
    <col min="2828" max="2828" width="2.140625" style="5" bestFit="1" customWidth="1"/>
    <col min="2829" max="2829" width="9.140625" style="5"/>
    <col min="2830" max="2830" width="11.140625" style="5" bestFit="1" customWidth="1"/>
    <col min="2831" max="3073" width="9.140625" style="5"/>
    <col min="3074" max="3074" width="14.42578125" style="5" bestFit="1" customWidth="1"/>
    <col min="3075" max="3075" width="8.7109375" style="5" bestFit="1" customWidth="1"/>
    <col min="3076" max="3076" width="36.7109375" style="5" bestFit="1" customWidth="1"/>
    <col min="3077" max="3077" width="15" style="5" bestFit="1" customWidth="1"/>
    <col min="3078" max="3078" width="5.140625" style="5" bestFit="1" customWidth="1"/>
    <col min="3079" max="3079" width="15" style="5" bestFit="1" customWidth="1"/>
    <col min="3080" max="3080" width="5.140625" style="5" bestFit="1" customWidth="1"/>
    <col min="3081" max="3081" width="15" style="5" bestFit="1" customWidth="1"/>
    <col min="3082" max="3082" width="5.140625" style="5" bestFit="1" customWidth="1"/>
    <col min="3083" max="3083" width="15" style="5" bestFit="1" customWidth="1"/>
    <col min="3084" max="3084" width="2.140625" style="5" bestFit="1" customWidth="1"/>
    <col min="3085" max="3085" width="9.140625" style="5"/>
    <col min="3086" max="3086" width="11.140625" style="5" bestFit="1" customWidth="1"/>
    <col min="3087" max="3329" width="9.140625" style="5"/>
    <col min="3330" max="3330" width="14.42578125" style="5" bestFit="1" customWidth="1"/>
    <col min="3331" max="3331" width="8.7109375" style="5" bestFit="1" customWidth="1"/>
    <col min="3332" max="3332" width="36.7109375" style="5" bestFit="1" customWidth="1"/>
    <col min="3333" max="3333" width="15" style="5" bestFit="1" customWidth="1"/>
    <col min="3334" max="3334" width="5.140625" style="5" bestFit="1" customWidth="1"/>
    <col min="3335" max="3335" width="15" style="5" bestFit="1" customWidth="1"/>
    <col min="3336" max="3336" width="5.140625" style="5" bestFit="1" customWidth="1"/>
    <col min="3337" max="3337" width="15" style="5" bestFit="1" customWidth="1"/>
    <col min="3338" max="3338" width="5.140625" style="5" bestFit="1" customWidth="1"/>
    <col min="3339" max="3339" width="15" style="5" bestFit="1" customWidth="1"/>
    <col min="3340" max="3340" width="2.140625" style="5" bestFit="1" customWidth="1"/>
    <col min="3341" max="3341" width="9.140625" style="5"/>
    <col min="3342" max="3342" width="11.140625" style="5" bestFit="1" customWidth="1"/>
    <col min="3343" max="3585" width="9.140625" style="5"/>
    <col min="3586" max="3586" width="14.42578125" style="5" bestFit="1" customWidth="1"/>
    <col min="3587" max="3587" width="8.7109375" style="5" bestFit="1" customWidth="1"/>
    <col min="3588" max="3588" width="36.7109375" style="5" bestFit="1" customWidth="1"/>
    <col min="3589" max="3589" width="15" style="5" bestFit="1" customWidth="1"/>
    <col min="3590" max="3590" width="5.140625" style="5" bestFit="1" customWidth="1"/>
    <col min="3591" max="3591" width="15" style="5" bestFit="1" customWidth="1"/>
    <col min="3592" max="3592" width="5.140625" style="5" bestFit="1" customWidth="1"/>
    <col min="3593" max="3593" width="15" style="5" bestFit="1" customWidth="1"/>
    <col min="3594" max="3594" width="5.140625" style="5" bestFit="1" customWidth="1"/>
    <col min="3595" max="3595" width="15" style="5" bestFit="1" customWidth="1"/>
    <col min="3596" max="3596" width="2.140625" style="5" bestFit="1" customWidth="1"/>
    <col min="3597" max="3597" width="9.140625" style="5"/>
    <col min="3598" max="3598" width="11.140625" style="5" bestFit="1" customWidth="1"/>
    <col min="3599" max="3841" width="9.140625" style="5"/>
    <col min="3842" max="3842" width="14.42578125" style="5" bestFit="1" customWidth="1"/>
    <col min="3843" max="3843" width="8.7109375" style="5" bestFit="1" customWidth="1"/>
    <col min="3844" max="3844" width="36.7109375" style="5" bestFit="1" customWidth="1"/>
    <col min="3845" max="3845" width="15" style="5" bestFit="1" customWidth="1"/>
    <col min="3846" max="3846" width="5.140625" style="5" bestFit="1" customWidth="1"/>
    <col min="3847" max="3847" width="15" style="5" bestFit="1" customWidth="1"/>
    <col min="3848" max="3848" width="5.140625" style="5" bestFit="1" customWidth="1"/>
    <col min="3849" max="3849" width="15" style="5" bestFit="1" customWidth="1"/>
    <col min="3850" max="3850" width="5.140625" style="5" bestFit="1" customWidth="1"/>
    <col min="3851" max="3851" width="15" style="5" bestFit="1" customWidth="1"/>
    <col min="3852" max="3852" width="2.140625" style="5" bestFit="1" customWidth="1"/>
    <col min="3853" max="3853" width="9.140625" style="5"/>
    <col min="3854" max="3854" width="11.140625" style="5" bestFit="1" customWidth="1"/>
    <col min="3855" max="4097" width="9.140625" style="5"/>
    <col min="4098" max="4098" width="14.42578125" style="5" bestFit="1" customWidth="1"/>
    <col min="4099" max="4099" width="8.7109375" style="5" bestFit="1" customWidth="1"/>
    <col min="4100" max="4100" width="36.7109375" style="5" bestFit="1" customWidth="1"/>
    <col min="4101" max="4101" width="15" style="5" bestFit="1" customWidth="1"/>
    <col min="4102" max="4102" width="5.140625" style="5" bestFit="1" customWidth="1"/>
    <col min="4103" max="4103" width="15" style="5" bestFit="1" customWidth="1"/>
    <col min="4104" max="4104" width="5.140625" style="5" bestFit="1" customWidth="1"/>
    <col min="4105" max="4105" width="15" style="5" bestFit="1" customWidth="1"/>
    <col min="4106" max="4106" width="5.140625" style="5" bestFit="1" customWidth="1"/>
    <col min="4107" max="4107" width="15" style="5" bestFit="1" customWidth="1"/>
    <col min="4108" max="4108" width="2.140625" style="5" bestFit="1" customWidth="1"/>
    <col min="4109" max="4109" width="9.140625" style="5"/>
    <col min="4110" max="4110" width="11.140625" style="5" bestFit="1" customWidth="1"/>
    <col min="4111" max="4353" width="9.140625" style="5"/>
    <col min="4354" max="4354" width="14.42578125" style="5" bestFit="1" customWidth="1"/>
    <col min="4355" max="4355" width="8.7109375" style="5" bestFit="1" customWidth="1"/>
    <col min="4356" max="4356" width="36.7109375" style="5" bestFit="1" customWidth="1"/>
    <col min="4357" max="4357" width="15" style="5" bestFit="1" customWidth="1"/>
    <col min="4358" max="4358" width="5.140625" style="5" bestFit="1" customWidth="1"/>
    <col min="4359" max="4359" width="15" style="5" bestFit="1" customWidth="1"/>
    <col min="4360" max="4360" width="5.140625" style="5" bestFit="1" customWidth="1"/>
    <col min="4361" max="4361" width="15" style="5" bestFit="1" customWidth="1"/>
    <col min="4362" max="4362" width="5.140625" style="5" bestFit="1" customWidth="1"/>
    <col min="4363" max="4363" width="15" style="5" bestFit="1" customWidth="1"/>
    <col min="4364" max="4364" width="2.140625" style="5" bestFit="1" customWidth="1"/>
    <col min="4365" max="4365" width="9.140625" style="5"/>
    <col min="4366" max="4366" width="11.140625" style="5" bestFit="1" customWidth="1"/>
    <col min="4367" max="4609" width="9.140625" style="5"/>
    <col min="4610" max="4610" width="14.42578125" style="5" bestFit="1" customWidth="1"/>
    <col min="4611" max="4611" width="8.7109375" style="5" bestFit="1" customWidth="1"/>
    <col min="4612" max="4612" width="36.7109375" style="5" bestFit="1" customWidth="1"/>
    <col min="4613" max="4613" width="15" style="5" bestFit="1" customWidth="1"/>
    <col min="4614" max="4614" width="5.140625" style="5" bestFit="1" customWidth="1"/>
    <col min="4615" max="4615" width="15" style="5" bestFit="1" customWidth="1"/>
    <col min="4616" max="4616" width="5.140625" style="5" bestFit="1" customWidth="1"/>
    <col min="4617" max="4617" width="15" style="5" bestFit="1" customWidth="1"/>
    <col min="4618" max="4618" width="5.140625" style="5" bestFit="1" customWidth="1"/>
    <col min="4619" max="4619" width="15" style="5" bestFit="1" customWidth="1"/>
    <col min="4620" max="4620" width="2.140625" style="5" bestFit="1" customWidth="1"/>
    <col min="4621" max="4621" width="9.140625" style="5"/>
    <col min="4622" max="4622" width="11.140625" style="5" bestFit="1" customWidth="1"/>
    <col min="4623" max="4865" width="9.140625" style="5"/>
    <col min="4866" max="4866" width="14.42578125" style="5" bestFit="1" customWidth="1"/>
    <col min="4867" max="4867" width="8.7109375" style="5" bestFit="1" customWidth="1"/>
    <col min="4868" max="4868" width="36.7109375" style="5" bestFit="1" customWidth="1"/>
    <col min="4869" max="4869" width="15" style="5" bestFit="1" customWidth="1"/>
    <col min="4870" max="4870" width="5.140625" style="5" bestFit="1" customWidth="1"/>
    <col min="4871" max="4871" width="15" style="5" bestFit="1" customWidth="1"/>
    <col min="4872" max="4872" width="5.140625" style="5" bestFit="1" customWidth="1"/>
    <col min="4873" max="4873" width="15" style="5" bestFit="1" customWidth="1"/>
    <col min="4874" max="4874" width="5.140625" style="5" bestFit="1" customWidth="1"/>
    <col min="4875" max="4875" width="15" style="5" bestFit="1" customWidth="1"/>
    <col min="4876" max="4876" width="2.140625" style="5" bestFit="1" customWidth="1"/>
    <col min="4877" max="4877" width="9.140625" style="5"/>
    <col min="4878" max="4878" width="11.140625" style="5" bestFit="1" customWidth="1"/>
    <col min="4879" max="5121" width="9.140625" style="5"/>
    <col min="5122" max="5122" width="14.42578125" style="5" bestFit="1" customWidth="1"/>
    <col min="5123" max="5123" width="8.7109375" style="5" bestFit="1" customWidth="1"/>
    <col min="5124" max="5124" width="36.7109375" style="5" bestFit="1" customWidth="1"/>
    <col min="5125" max="5125" width="15" style="5" bestFit="1" customWidth="1"/>
    <col min="5126" max="5126" width="5.140625" style="5" bestFit="1" customWidth="1"/>
    <col min="5127" max="5127" width="15" style="5" bestFit="1" customWidth="1"/>
    <col min="5128" max="5128" width="5.140625" style="5" bestFit="1" customWidth="1"/>
    <col min="5129" max="5129" width="15" style="5" bestFit="1" customWidth="1"/>
    <col min="5130" max="5130" width="5.140625" style="5" bestFit="1" customWidth="1"/>
    <col min="5131" max="5131" width="15" style="5" bestFit="1" customWidth="1"/>
    <col min="5132" max="5132" width="2.140625" style="5" bestFit="1" customWidth="1"/>
    <col min="5133" max="5133" width="9.140625" style="5"/>
    <col min="5134" max="5134" width="11.140625" style="5" bestFit="1" customWidth="1"/>
    <col min="5135" max="5377" width="9.140625" style="5"/>
    <col min="5378" max="5378" width="14.42578125" style="5" bestFit="1" customWidth="1"/>
    <col min="5379" max="5379" width="8.7109375" style="5" bestFit="1" customWidth="1"/>
    <col min="5380" max="5380" width="36.7109375" style="5" bestFit="1" customWidth="1"/>
    <col min="5381" max="5381" width="15" style="5" bestFit="1" customWidth="1"/>
    <col min="5382" max="5382" width="5.140625" style="5" bestFit="1" customWidth="1"/>
    <col min="5383" max="5383" width="15" style="5" bestFit="1" customWidth="1"/>
    <col min="5384" max="5384" width="5.140625" style="5" bestFit="1" customWidth="1"/>
    <col min="5385" max="5385" width="15" style="5" bestFit="1" customWidth="1"/>
    <col min="5386" max="5386" width="5.140625" style="5" bestFit="1" customWidth="1"/>
    <col min="5387" max="5387" width="15" style="5" bestFit="1" customWidth="1"/>
    <col min="5388" max="5388" width="2.140625" style="5" bestFit="1" customWidth="1"/>
    <col min="5389" max="5389" width="9.140625" style="5"/>
    <col min="5390" max="5390" width="11.140625" style="5" bestFit="1" customWidth="1"/>
    <col min="5391" max="5633" width="9.140625" style="5"/>
    <col min="5634" max="5634" width="14.42578125" style="5" bestFit="1" customWidth="1"/>
    <col min="5635" max="5635" width="8.7109375" style="5" bestFit="1" customWidth="1"/>
    <col min="5636" max="5636" width="36.7109375" style="5" bestFit="1" customWidth="1"/>
    <col min="5637" max="5637" width="15" style="5" bestFit="1" customWidth="1"/>
    <col min="5638" max="5638" width="5.140625" style="5" bestFit="1" customWidth="1"/>
    <col min="5639" max="5639" width="15" style="5" bestFit="1" customWidth="1"/>
    <col min="5640" max="5640" width="5.140625" style="5" bestFit="1" customWidth="1"/>
    <col min="5641" max="5641" width="15" style="5" bestFit="1" customWidth="1"/>
    <col min="5642" max="5642" width="5.140625" style="5" bestFit="1" customWidth="1"/>
    <col min="5643" max="5643" width="15" style="5" bestFit="1" customWidth="1"/>
    <col min="5644" max="5644" width="2.140625" style="5" bestFit="1" customWidth="1"/>
    <col min="5645" max="5645" width="9.140625" style="5"/>
    <col min="5646" max="5646" width="11.140625" style="5" bestFit="1" customWidth="1"/>
    <col min="5647" max="5889" width="9.140625" style="5"/>
    <col min="5890" max="5890" width="14.42578125" style="5" bestFit="1" customWidth="1"/>
    <col min="5891" max="5891" width="8.7109375" style="5" bestFit="1" customWidth="1"/>
    <col min="5892" max="5892" width="36.7109375" style="5" bestFit="1" customWidth="1"/>
    <col min="5893" max="5893" width="15" style="5" bestFit="1" customWidth="1"/>
    <col min="5894" max="5894" width="5.140625" style="5" bestFit="1" customWidth="1"/>
    <col min="5895" max="5895" width="15" style="5" bestFit="1" customWidth="1"/>
    <col min="5896" max="5896" width="5.140625" style="5" bestFit="1" customWidth="1"/>
    <col min="5897" max="5897" width="15" style="5" bestFit="1" customWidth="1"/>
    <col min="5898" max="5898" width="5.140625" style="5" bestFit="1" customWidth="1"/>
    <col min="5899" max="5899" width="15" style="5" bestFit="1" customWidth="1"/>
    <col min="5900" max="5900" width="2.140625" style="5" bestFit="1" customWidth="1"/>
    <col min="5901" max="5901" width="9.140625" style="5"/>
    <col min="5902" max="5902" width="11.140625" style="5" bestFit="1" customWidth="1"/>
    <col min="5903" max="6145" width="9.140625" style="5"/>
    <col min="6146" max="6146" width="14.42578125" style="5" bestFit="1" customWidth="1"/>
    <col min="6147" max="6147" width="8.7109375" style="5" bestFit="1" customWidth="1"/>
    <col min="6148" max="6148" width="36.7109375" style="5" bestFit="1" customWidth="1"/>
    <col min="6149" max="6149" width="15" style="5" bestFit="1" customWidth="1"/>
    <col min="6150" max="6150" width="5.140625" style="5" bestFit="1" customWidth="1"/>
    <col min="6151" max="6151" width="15" style="5" bestFit="1" customWidth="1"/>
    <col min="6152" max="6152" width="5.140625" style="5" bestFit="1" customWidth="1"/>
    <col min="6153" max="6153" width="15" style="5" bestFit="1" customWidth="1"/>
    <col min="6154" max="6154" width="5.140625" style="5" bestFit="1" customWidth="1"/>
    <col min="6155" max="6155" width="15" style="5" bestFit="1" customWidth="1"/>
    <col min="6156" max="6156" width="2.140625" style="5" bestFit="1" customWidth="1"/>
    <col min="6157" max="6157" width="9.140625" style="5"/>
    <col min="6158" max="6158" width="11.140625" style="5" bestFit="1" customWidth="1"/>
    <col min="6159" max="6401" width="9.140625" style="5"/>
    <col min="6402" max="6402" width="14.42578125" style="5" bestFit="1" customWidth="1"/>
    <col min="6403" max="6403" width="8.7109375" style="5" bestFit="1" customWidth="1"/>
    <col min="6404" max="6404" width="36.7109375" style="5" bestFit="1" customWidth="1"/>
    <col min="6405" max="6405" width="15" style="5" bestFit="1" customWidth="1"/>
    <col min="6406" max="6406" width="5.140625" style="5" bestFit="1" customWidth="1"/>
    <col min="6407" max="6407" width="15" style="5" bestFit="1" customWidth="1"/>
    <col min="6408" max="6408" width="5.140625" style="5" bestFit="1" customWidth="1"/>
    <col min="6409" max="6409" width="15" style="5" bestFit="1" customWidth="1"/>
    <col min="6410" max="6410" width="5.140625" style="5" bestFit="1" customWidth="1"/>
    <col min="6411" max="6411" width="15" style="5" bestFit="1" customWidth="1"/>
    <col min="6412" max="6412" width="2.140625" style="5" bestFit="1" customWidth="1"/>
    <col min="6413" max="6413" width="9.140625" style="5"/>
    <col min="6414" max="6414" width="11.140625" style="5" bestFit="1" customWidth="1"/>
    <col min="6415" max="6657" width="9.140625" style="5"/>
    <col min="6658" max="6658" width="14.42578125" style="5" bestFit="1" customWidth="1"/>
    <col min="6659" max="6659" width="8.7109375" style="5" bestFit="1" customWidth="1"/>
    <col min="6660" max="6660" width="36.7109375" style="5" bestFit="1" customWidth="1"/>
    <col min="6661" max="6661" width="15" style="5" bestFit="1" customWidth="1"/>
    <col min="6662" max="6662" width="5.140625" style="5" bestFit="1" customWidth="1"/>
    <col min="6663" max="6663" width="15" style="5" bestFit="1" customWidth="1"/>
    <col min="6664" max="6664" width="5.140625" style="5" bestFit="1" customWidth="1"/>
    <col min="6665" max="6665" width="15" style="5" bestFit="1" customWidth="1"/>
    <col min="6666" max="6666" width="5.140625" style="5" bestFit="1" customWidth="1"/>
    <col min="6667" max="6667" width="15" style="5" bestFit="1" customWidth="1"/>
    <col min="6668" max="6668" width="2.140625" style="5" bestFit="1" customWidth="1"/>
    <col min="6669" max="6669" width="9.140625" style="5"/>
    <col min="6670" max="6670" width="11.140625" style="5" bestFit="1" customWidth="1"/>
    <col min="6671" max="6913" width="9.140625" style="5"/>
    <col min="6914" max="6914" width="14.42578125" style="5" bestFit="1" customWidth="1"/>
    <col min="6915" max="6915" width="8.7109375" style="5" bestFit="1" customWidth="1"/>
    <col min="6916" max="6916" width="36.7109375" style="5" bestFit="1" customWidth="1"/>
    <col min="6917" max="6917" width="15" style="5" bestFit="1" customWidth="1"/>
    <col min="6918" max="6918" width="5.140625" style="5" bestFit="1" customWidth="1"/>
    <col min="6919" max="6919" width="15" style="5" bestFit="1" customWidth="1"/>
    <col min="6920" max="6920" width="5.140625" style="5" bestFit="1" customWidth="1"/>
    <col min="6921" max="6921" width="15" style="5" bestFit="1" customWidth="1"/>
    <col min="6922" max="6922" width="5.140625" style="5" bestFit="1" customWidth="1"/>
    <col min="6923" max="6923" width="15" style="5" bestFit="1" customWidth="1"/>
    <col min="6924" max="6924" width="2.140625" style="5" bestFit="1" customWidth="1"/>
    <col min="6925" max="6925" width="9.140625" style="5"/>
    <col min="6926" max="6926" width="11.140625" style="5" bestFit="1" customWidth="1"/>
    <col min="6927" max="7169" width="9.140625" style="5"/>
    <col min="7170" max="7170" width="14.42578125" style="5" bestFit="1" customWidth="1"/>
    <col min="7171" max="7171" width="8.7109375" style="5" bestFit="1" customWidth="1"/>
    <col min="7172" max="7172" width="36.7109375" style="5" bestFit="1" customWidth="1"/>
    <col min="7173" max="7173" width="15" style="5" bestFit="1" customWidth="1"/>
    <col min="7174" max="7174" width="5.140625" style="5" bestFit="1" customWidth="1"/>
    <col min="7175" max="7175" width="15" style="5" bestFit="1" customWidth="1"/>
    <col min="7176" max="7176" width="5.140625" style="5" bestFit="1" customWidth="1"/>
    <col min="7177" max="7177" width="15" style="5" bestFit="1" customWidth="1"/>
    <col min="7178" max="7178" width="5.140625" style="5" bestFit="1" customWidth="1"/>
    <col min="7179" max="7179" width="15" style="5" bestFit="1" customWidth="1"/>
    <col min="7180" max="7180" width="2.140625" style="5" bestFit="1" customWidth="1"/>
    <col min="7181" max="7181" width="9.140625" style="5"/>
    <col min="7182" max="7182" width="11.140625" style="5" bestFit="1" customWidth="1"/>
    <col min="7183" max="7425" width="9.140625" style="5"/>
    <col min="7426" max="7426" width="14.42578125" style="5" bestFit="1" customWidth="1"/>
    <col min="7427" max="7427" width="8.7109375" style="5" bestFit="1" customWidth="1"/>
    <col min="7428" max="7428" width="36.7109375" style="5" bestFit="1" customWidth="1"/>
    <col min="7429" max="7429" width="15" style="5" bestFit="1" customWidth="1"/>
    <col min="7430" max="7430" width="5.140625" style="5" bestFit="1" customWidth="1"/>
    <col min="7431" max="7431" width="15" style="5" bestFit="1" customWidth="1"/>
    <col min="7432" max="7432" width="5.140625" style="5" bestFit="1" customWidth="1"/>
    <col min="7433" max="7433" width="15" style="5" bestFit="1" customWidth="1"/>
    <col min="7434" max="7434" width="5.140625" style="5" bestFit="1" customWidth="1"/>
    <col min="7435" max="7435" width="15" style="5" bestFit="1" customWidth="1"/>
    <col min="7436" max="7436" width="2.140625" style="5" bestFit="1" customWidth="1"/>
    <col min="7437" max="7437" width="9.140625" style="5"/>
    <col min="7438" max="7438" width="11.140625" style="5" bestFit="1" customWidth="1"/>
    <col min="7439" max="7681" width="9.140625" style="5"/>
    <col min="7682" max="7682" width="14.42578125" style="5" bestFit="1" customWidth="1"/>
    <col min="7683" max="7683" width="8.7109375" style="5" bestFit="1" customWidth="1"/>
    <col min="7684" max="7684" width="36.7109375" style="5" bestFit="1" customWidth="1"/>
    <col min="7685" max="7685" width="15" style="5" bestFit="1" customWidth="1"/>
    <col min="7686" max="7686" width="5.140625" style="5" bestFit="1" customWidth="1"/>
    <col min="7687" max="7687" width="15" style="5" bestFit="1" customWidth="1"/>
    <col min="7688" max="7688" width="5.140625" style="5" bestFit="1" customWidth="1"/>
    <col min="7689" max="7689" width="15" style="5" bestFit="1" customWidth="1"/>
    <col min="7690" max="7690" width="5.140625" style="5" bestFit="1" customWidth="1"/>
    <col min="7691" max="7691" width="15" style="5" bestFit="1" customWidth="1"/>
    <col min="7692" max="7692" width="2.140625" style="5" bestFit="1" customWidth="1"/>
    <col min="7693" max="7693" width="9.140625" style="5"/>
    <col min="7694" max="7694" width="11.140625" style="5" bestFit="1" customWidth="1"/>
    <col min="7695" max="7937" width="9.140625" style="5"/>
    <col min="7938" max="7938" width="14.42578125" style="5" bestFit="1" customWidth="1"/>
    <col min="7939" max="7939" width="8.7109375" style="5" bestFit="1" customWidth="1"/>
    <col min="7940" max="7940" width="36.7109375" style="5" bestFit="1" customWidth="1"/>
    <col min="7941" max="7941" width="15" style="5" bestFit="1" customWidth="1"/>
    <col min="7942" max="7942" width="5.140625" style="5" bestFit="1" customWidth="1"/>
    <col min="7943" max="7943" width="15" style="5" bestFit="1" customWidth="1"/>
    <col min="7944" max="7944" width="5.140625" style="5" bestFit="1" customWidth="1"/>
    <col min="7945" max="7945" width="15" style="5" bestFit="1" customWidth="1"/>
    <col min="7946" max="7946" width="5.140625" style="5" bestFit="1" customWidth="1"/>
    <col min="7947" max="7947" width="15" style="5" bestFit="1" customWidth="1"/>
    <col min="7948" max="7948" width="2.140625" style="5" bestFit="1" customWidth="1"/>
    <col min="7949" max="7949" width="9.140625" style="5"/>
    <col min="7950" max="7950" width="11.140625" style="5" bestFit="1" customWidth="1"/>
    <col min="7951" max="8193" width="9.140625" style="5"/>
    <col min="8194" max="8194" width="14.42578125" style="5" bestFit="1" customWidth="1"/>
    <col min="8195" max="8195" width="8.7109375" style="5" bestFit="1" customWidth="1"/>
    <col min="8196" max="8196" width="36.7109375" style="5" bestFit="1" customWidth="1"/>
    <col min="8197" max="8197" width="15" style="5" bestFit="1" customWidth="1"/>
    <col min="8198" max="8198" width="5.140625" style="5" bestFit="1" customWidth="1"/>
    <col min="8199" max="8199" width="15" style="5" bestFit="1" customWidth="1"/>
    <col min="8200" max="8200" width="5.140625" style="5" bestFit="1" customWidth="1"/>
    <col min="8201" max="8201" width="15" style="5" bestFit="1" customWidth="1"/>
    <col min="8202" max="8202" width="5.140625" style="5" bestFit="1" customWidth="1"/>
    <col min="8203" max="8203" width="15" style="5" bestFit="1" customWidth="1"/>
    <col min="8204" max="8204" width="2.140625" style="5" bestFit="1" customWidth="1"/>
    <col min="8205" max="8205" width="9.140625" style="5"/>
    <col min="8206" max="8206" width="11.140625" style="5" bestFit="1" customWidth="1"/>
    <col min="8207" max="8449" width="9.140625" style="5"/>
    <col min="8450" max="8450" width="14.42578125" style="5" bestFit="1" customWidth="1"/>
    <col min="8451" max="8451" width="8.7109375" style="5" bestFit="1" customWidth="1"/>
    <col min="8452" max="8452" width="36.7109375" style="5" bestFit="1" customWidth="1"/>
    <col min="8453" max="8453" width="15" style="5" bestFit="1" customWidth="1"/>
    <col min="8454" max="8454" width="5.140625" style="5" bestFit="1" customWidth="1"/>
    <col min="8455" max="8455" width="15" style="5" bestFit="1" customWidth="1"/>
    <col min="8456" max="8456" width="5.140625" style="5" bestFit="1" customWidth="1"/>
    <col min="8457" max="8457" width="15" style="5" bestFit="1" customWidth="1"/>
    <col min="8458" max="8458" width="5.140625" style="5" bestFit="1" customWidth="1"/>
    <col min="8459" max="8459" width="15" style="5" bestFit="1" customWidth="1"/>
    <col min="8460" max="8460" width="2.140625" style="5" bestFit="1" customWidth="1"/>
    <col min="8461" max="8461" width="9.140625" style="5"/>
    <col min="8462" max="8462" width="11.140625" style="5" bestFit="1" customWidth="1"/>
    <col min="8463" max="8705" width="9.140625" style="5"/>
    <col min="8706" max="8706" width="14.42578125" style="5" bestFit="1" customWidth="1"/>
    <col min="8707" max="8707" width="8.7109375" style="5" bestFit="1" customWidth="1"/>
    <col min="8708" max="8708" width="36.7109375" style="5" bestFit="1" customWidth="1"/>
    <col min="8709" max="8709" width="15" style="5" bestFit="1" customWidth="1"/>
    <col min="8710" max="8710" width="5.140625" style="5" bestFit="1" customWidth="1"/>
    <col min="8711" max="8711" width="15" style="5" bestFit="1" customWidth="1"/>
    <col min="8712" max="8712" width="5.140625" style="5" bestFit="1" customWidth="1"/>
    <col min="8713" max="8713" width="15" style="5" bestFit="1" customWidth="1"/>
    <col min="8714" max="8714" width="5.140625" style="5" bestFit="1" customWidth="1"/>
    <col min="8715" max="8715" width="15" style="5" bestFit="1" customWidth="1"/>
    <col min="8716" max="8716" width="2.140625" style="5" bestFit="1" customWidth="1"/>
    <col min="8717" max="8717" width="9.140625" style="5"/>
    <col min="8718" max="8718" width="11.140625" style="5" bestFit="1" customWidth="1"/>
    <col min="8719" max="8961" width="9.140625" style="5"/>
    <col min="8962" max="8962" width="14.42578125" style="5" bestFit="1" customWidth="1"/>
    <col min="8963" max="8963" width="8.7109375" style="5" bestFit="1" customWidth="1"/>
    <col min="8964" max="8964" width="36.7109375" style="5" bestFit="1" customWidth="1"/>
    <col min="8965" max="8965" width="15" style="5" bestFit="1" customWidth="1"/>
    <col min="8966" max="8966" width="5.140625" style="5" bestFit="1" customWidth="1"/>
    <col min="8967" max="8967" width="15" style="5" bestFit="1" customWidth="1"/>
    <col min="8968" max="8968" width="5.140625" style="5" bestFit="1" customWidth="1"/>
    <col min="8969" max="8969" width="15" style="5" bestFit="1" customWidth="1"/>
    <col min="8970" max="8970" width="5.140625" style="5" bestFit="1" customWidth="1"/>
    <col min="8971" max="8971" width="15" style="5" bestFit="1" customWidth="1"/>
    <col min="8972" max="8972" width="2.140625" style="5" bestFit="1" customWidth="1"/>
    <col min="8973" max="8973" width="9.140625" style="5"/>
    <col min="8974" max="8974" width="11.140625" style="5" bestFit="1" customWidth="1"/>
    <col min="8975" max="9217" width="9.140625" style="5"/>
    <col min="9218" max="9218" width="14.42578125" style="5" bestFit="1" customWidth="1"/>
    <col min="9219" max="9219" width="8.7109375" style="5" bestFit="1" customWidth="1"/>
    <col min="9220" max="9220" width="36.7109375" style="5" bestFit="1" customWidth="1"/>
    <col min="9221" max="9221" width="15" style="5" bestFit="1" customWidth="1"/>
    <col min="9222" max="9222" width="5.140625" style="5" bestFit="1" customWidth="1"/>
    <col min="9223" max="9223" width="15" style="5" bestFit="1" customWidth="1"/>
    <col min="9224" max="9224" width="5.140625" style="5" bestFit="1" customWidth="1"/>
    <col min="9225" max="9225" width="15" style="5" bestFit="1" customWidth="1"/>
    <col min="9226" max="9226" width="5.140625" style="5" bestFit="1" customWidth="1"/>
    <col min="9227" max="9227" width="15" style="5" bestFit="1" customWidth="1"/>
    <col min="9228" max="9228" width="2.140625" style="5" bestFit="1" customWidth="1"/>
    <col min="9229" max="9229" width="9.140625" style="5"/>
    <col min="9230" max="9230" width="11.140625" style="5" bestFit="1" customWidth="1"/>
    <col min="9231" max="9473" width="9.140625" style="5"/>
    <col min="9474" max="9474" width="14.42578125" style="5" bestFit="1" customWidth="1"/>
    <col min="9475" max="9475" width="8.7109375" style="5" bestFit="1" customWidth="1"/>
    <col min="9476" max="9476" width="36.7109375" style="5" bestFit="1" customWidth="1"/>
    <col min="9477" max="9477" width="15" style="5" bestFit="1" customWidth="1"/>
    <col min="9478" max="9478" width="5.140625" style="5" bestFit="1" customWidth="1"/>
    <col min="9479" max="9479" width="15" style="5" bestFit="1" customWidth="1"/>
    <col min="9480" max="9480" width="5.140625" style="5" bestFit="1" customWidth="1"/>
    <col min="9481" max="9481" width="15" style="5" bestFit="1" customWidth="1"/>
    <col min="9482" max="9482" width="5.140625" style="5" bestFit="1" customWidth="1"/>
    <col min="9483" max="9483" width="15" style="5" bestFit="1" customWidth="1"/>
    <col min="9484" max="9484" width="2.140625" style="5" bestFit="1" customWidth="1"/>
    <col min="9485" max="9485" width="9.140625" style="5"/>
    <col min="9486" max="9486" width="11.140625" style="5" bestFit="1" customWidth="1"/>
    <col min="9487" max="9729" width="9.140625" style="5"/>
    <col min="9730" max="9730" width="14.42578125" style="5" bestFit="1" customWidth="1"/>
    <col min="9731" max="9731" width="8.7109375" style="5" bestFit="1" customWidth="1"/>
    <col min="9732" max="9732" width="36.7109375" style="5" bestFit="1" customWidth="1"/>
    <col min="9733" max="9733" width="15" style="5" bestFit="1" customWidth="1"/>
    <col min="9734" max="9734" width="5.140625" style="5" bestFit="1" customWidth="1"/>
    <col min="9735" max="9735" width="15" style="5" bestFit="1" customWidth="1"/>
    <col min="9736" max="9736" width="5.140625" style="5" bestFit="1" customWidth="1"/>
    <col min="9737" max="9737" width="15" style="5" bestFit="1" customWidth="1"/>
    <col min="9738" max="9738" width="5.140625" style="5" bestFit="1" customWidth="1"/>
    <col min="9739" max="9739" width="15" style="5" bestFit="1" customWidth="1"/>
    <col min="9740" max="9740" width="2.140625" style="5" bestFit="1" customWidth="1"/>
    <col min="9741" max="9741" width="9.140625" style="5"/>
    <col min="9742" max="9742" width="11.140625" style="5" bestFit="1" customWidth="1"/>
    <col min="9743" max="9985" width="9.140625" style="5"/>
    <col min="9986" max="9986" width="14.42578125" style="5" bestFit="1" customWidth="1"/>
    <col min="9987" max="9987" width="8.7109375" style="5" bestFit="1" customWidth="1"/>
    <col min="9988" max="9988" width="36.7109375" style="5" bestFit="1" customWidth="1"/>
    <col min="9989" max="9989" width="15" style="5" bestFit="1" customWidth="1"/>
    <col min="9990" max="9990" width="5.140625" style="5" bestFit="1" customWidth="1"/>
    <col min="9991" max="9991" width="15" style="5" bestFit="1" customWidth="1"/>
    <col min="9992" max="9992" width="5.140625" style="5" bestFit="1" customWidth="1"/>
    <col min="9993" max="9993" width="15" style="5" bestFit="1" customWidth="1"/>
    <col min="9994" max="9994" width="5.140625" style="5" bestFit="1" customWidth="1"/>
    <col min="9995" max="9995" width="15" style="5" bestFit="1" customWidth="1"/>
    <col min="9996" max="9996" width="2.140625" style="5" bestFit="1" customWidth="1"/>
    <col min="9997" max="9997" width="9.140625" style="5"/>
    <col min="9998" max="9998" width="11.140625" style="5" bestFit="1" customWidth="1"/>
    <col min="9999" max="10241" width="9.140625" style="5"/>
    <col min="10242" max="10242" width="14.42578125" style="5" bestFit="1" customWidth="1"/>
    <col min="10243" max="10243" width="8.7109375" style="5" bestFit="1" customWidth="1"/>
    <col min="10244" max="10244" width="36.7109375" style="5" bestFit="1" customWidth="1"/>
    <col min="10245" max="10245" width="15" style="5" bestFit="1" customWidth="1"/>
    <col min="10246" max="10246" width="5.140625" style="5" bestFit="1" customWidth="1"/>
    <col min="10247" max="10247" width="15" style="5" bestFit="1" customWidth="1"/>
    <col min="10248" max="10248" width="5.140625" style="5" bestFit="1" customWidth="1"/>
    <col min="10249" max="10249" width="15" style="5" bestFit="1" customWidth="1"/>
    <col min="10250" max="10250" width="5.140625" style="5" bestFit="1" customWidth="1"/>
    <col min="10251" max="10251" width="15" style="5" bestFit="1" customWidth="1"/>
    <col min="10252" max="10252" width="2.140625" style="5" bestFit="1" customWidth="1"/>
    <col min="10253" max="10253" width="9.140625" style="5"/>
    <col min="10254" max="10254" width="11.140625" style="5" bestFit="1" customWidth="1"/>
    <col min="10255" max="10497" width="9.140625" style="5"/>
    <col min="10498" max="10498" width="14.42578125" style="5" bestFit="1" customWidth="1"/>
    <col min="10499" max="10499" width="8.7109375" style="5" bestFit="1" customWidth="1"/>
    <col min="10500" max="10500" width="36.7109375" style="5" bestFit="1" customWidth="1"/>
    <col min="10501" max="10501" width="15" style="5" bestFit="1" customWidth="1"/>
    <col min="10502" max="10502" width="5.140625" style="5" bestFit="1" customWidth="1"/>
    <col min="10503" max="10503" width="15" style="5" bestFit="1" customWidth="1"/>
    <col min="10504" max="10504" width="5.140625" style="5" bestFit="1" customWidth="1"/>
    <col min="10505" max="10505" width="15" style="5" bestFit="1" customWidth="1"/>
    <col min="10506" max="10506" width="5.140625" style="5" bestFit="1" customWidth="1"/>
    <col min="10507" max="10507" width="15" style="5" bestFit="1" customWidth="1"/>
    <col min="10508" max="10508" width="2.140625" style="5" bestFit="1" customWidth="1"/>
    <col min="10509" max="10509" width="9.140625" style="5"/>
    <col min="10510" max="10510" width="11.140625" style="5" bestFit="1" customWidth="1"/>
    <col min="10511" max="10753" width="9.140625" style="5"/>
    <col min="10754" max="10754" width="14.42578125" style="5" bestFit="1" customWidth="1"/>
    <col min="10755" max="10755" width="8.7109375" style="5" bestFit="1" customWidth="1"/>
    <col min="10756" max="10756" width="36.7109375" style="5" bestFit="1" customWidth="1"/>
    <col min="10757" max="10757" width="15" style="5" bestFit="1" customWidth="1"/>
    <col min="10758" max="10758" width="5.140625" style="5" bestFit="1" customWidth="1"/>
    <col min="10759" max="10759" width="15" style="5" bestFit="1" customWidth="1"/>
    <col min="10760" max="10760" width="5.140625" style="5" bestFit="1" customWidth="1"/>
    <col min="10761" max="10761" width="15" style="5" bestFit="1" customWidth="1"/>
    <col min="10762" max="10762" width="5.140625" style="5" bestFit="1" customWidth="1"/>
    <col min="10763" max="10763" width="15" style="5" bestFit="1" customWidth="1"/>
    <col min="10764" max="10764" width="2.140625" style="5" bestFit="1" customWidth="1"/>
    <col min="10765" max="10765" width="9.140625" style="5"/>
    <col min="10766" max="10766" width="11.140625" style="5" bestFit="1" customWidth="1"/>
    <col min="10767" max="11009" width="9.140625" style="5"/>
    <col min="11010" max="11010" width="14.42578125" style="5" bestFit="1" customWidth="1"/>
    <col min="11011" max="11011" width="8.7109375" style="5" bestFit="1" customWidth="1"/>
    <col min="11012" max="11012" width="36.7109375" style="5" bestFit="1" customWidth="1"/>
    <col min="11013" max="11013" width="15" style="5" bestFit="1" customWidth="1"/>
    <col min="11014" max="11014" width="5.140625" style="5" bestFit="1" customWidth="1"/>
    <col min="11015" max="11015" width="15" style="5" bestFit="1" customWidth="1"/>
    <col min="11016" max="11016" width="5.140625" style="5" bestFit="1" customWidth="1"/>
    <col min="11017" max="11017" width="15" style="5" bestFit="1" customWidth="1"/>
    <col min="11018" max="11018" width="5.140625" style="5" bestFit="1" customWidth="1"/>
    <col min="11019" max="11019" width="15" style="5" bestFit="1" customWidth="1"/>
    <col min="11020" max="11020" width="2.140625" style="5" bestFit="1" customWidth="1"/>
    <col min="11021" max="11021" width="9.140625" style="5"/>
    <col min="11022" max="11022" width="11.140625" style="5" bestFit="1" customWidth="1"/>
    <col min="11023" max="11265" width="9.140625" style="5"/>
    <col min="11266" max="11266" width="14.42578125" style="5" bestFit="1" customWidth="1"/>
    <col min="11267" max="11267" width="8.7109375" style="5" bestFit="1" customWidth="1"/>
    <col min="11268" max="11268" width="36.7109375" style="5" bestFit="1" customWidth="1"/>
    <col min="11269" max="11269" width="15" style="5" bestFit="1" customWidth="1"/>
    <col min="11270" max="11270" width="5.140625" style="5" bestFit="1" customWidth="1"/>
    <col min="11271" max="11271" width="15" style="5" bestFit="1" customWidth="1"/>
    <col min="11272" max="11272" width="5.140625" style="5" bestFit="1" customWidth="1"/>
    <col min="11273" max="11273" width="15" style="5" bestFit="1" customWidth="1"/>
    <col min="11274" max="11274" width="5.140625" style="5" bestFit="1" customWidth="1"/>
    <col min="11275" max="11275" width="15" style="5" bestFit="1" customWidth="1"/>
    <col min="11276" max="11276" width="2.140625" style="5" bestFit="1" customWidth="1"/>
    <col min="11277" max="11277" width="9.140625" style="5"/>
    <col min="11278" max="11278" width="11.140625" style="5" bestFit="1" customWidth="1"/>
    <col min="11279" max="11521" width="9.140625" style="5"/>
    <col min="11522" max="11522" width="14.42578125" style="5" bestFit="1" customWidth="1"/>
    <col min="11523" max="11523" width="8.7109375" style="5" bestFit="1" customWidth="1"/>
    <col min="11524" max="11524" width="36.7109375" style="5" bestFit="1" customWidth="1"/>
    <col min="11525" max="11525" width="15" style="5" bestFit="1" customWidth="1"/>
    <col min="11526" max="11526" width="5.140625" style="5" bestFit="1" customWidth="1"/>
    <col min="11527" max="11527" width="15" style="5" bestFit="1" customWidth="1"/>
    <col min="11528" max="11528" width="5.140625" style="5" bestFit="1" customWidth="1"/>
    <col min="11529" max="11529" width="15" style="5" bestFit="1" customWidth="1"/>
    <col min="11530" max="11530" width="5.140625" style="5" bestFit="1" customWidth="1"/>
    <col min="11531" max="11531" width="15" style="5" bestFit="1" customWidth="1"/>
    <col min="11532" max="11532" width="2.140625" style="5" bestFit="1" customWidth="1"/>
    <col min="11533" max="11533" width="9.140625" style="5"/>
    <col min="11534" max="11534" width="11.140625" style="5" bestFit="1" customWidth="1"/>
    <col min="11535" max="11777" width="9.140625" style="5"/>
    <col min="11778" max="11778" width="14.42578125" style="5" bestFit="1" customWidth="1"/>
    <col min="11779" max="11779" width="8.7109375" style="5" bestFit="1" customWidth="1"/>
    <col min="11780" max="11780" width="36.7109375" style="5" bestFit="1" customWidth="1"/>
    <col min="11781" max="11781" width="15" style="5" bestFit="1" customWidth="1"/>
    <col min="11782" max="11782" width="5.140625" style="5" bestFit="1" customWidth="1"/>
    <col min="11783" max="11783" width="15" style="5" bestFit="1" customWidth="1"/>
    <col min="11784" max="11784" width="5.140625" style="5" bestFit="1" customWidth="1"/>
    <col min="11785" max="11785" width="15" style="5" bestFit="1" customWidth="1"/>
    <col min="11786" max="11786" width="5.140625" style="5" bestFit="1" customWidth="1"/>
    <col min="11787" max="11787" width="15" style="5" bestFit="1" customWidth="1"/>
    <col min="11788" max="11788" width="2.140625" style="5" bestFit="1" customWidth="1"/>
    <col min="11789" max="11789" width="9.140625" style="5"/>
    <col min="11790" max="11790" width="11.140625" style="5" bestFit="1" customWidth="1"/>
    <col min="11791" max="12033" width="9.140625" style="5"/>
    <col min="12034" max="12034" width="14.42578125" style="5" bestFit="1" customWidth="1"/>
    <col min="12035" max="12035" width="8.7109375" style="5" bestFit="1" customWidth="1"/>
    <col min="12036" max="12036" width="36.7109375" style="5" bestFit="1" customWidth="1"/>
    <col min="12037" max="12037" width="15" style="5" bestFit="1" customWidth="1"/>
    <col min="12038" max="12038" width="5.140625" style="5" bestFit="1" customWidth="1"/>
    <col min="12039" max="12039" width="15" style="5" bestFit="1" customWidth="1"/>
    <col min="12040" max="12040" width="5.140625" style="5" bestFit="1" customWidth="1"/>
    <col min="12041" max="12041" width="15" style="5" bestFit="1" customWidth="1"/>
    <col min="12042" max="12042" width="5.140625" style="5" bestFit="1" customWidth="1"/>
    <col min="12043" max="12043" width="15" style="5" bestFit="1" customWidth="1"/>
    <col min="12044" max="12044" width="2.140625" style="5" bestFit="1" customWidth="1"/>
    <col min="12045" max="12045" width="9.140625" style="5"/>
    <col min="12046" max="12046" width="11.140625" style="5" bestFit="1" customWidth="1"/>
    <col min="12047" max="12289" width="9.140625" style="5"/>
    <col min="12290" max="12290" width="14.42578125" style="5" bestFit="1" customWidth="1"/>
    <col min="12291" max="12291" width="8.7109375" style="5" bestFit="1" customWidth="1"/>
    <col min="12292" max="12292" width="36.7109375" style="5" bestFit="1" customWidth="1"/>
    <col min="12293" max="12293" width="15" style="5" bestFit="1" customWidth="1"/>
    <col min="12294" max="12294" width="5.140625" style="5" bestFit="1" customWidth="1"/>
    <col min="12295" max="12295" width="15" style="5" bestFit="1" customWidth="1"/>
    <col min="12296" max="12296" width="5.140625" style="5" bestFit="1" customWidth="1"/>
    <col min="12297" max="12297" width="15" style="5" bestFit="1" customWidth="1"/>
    <col min="12298" max="12298" width="5.140625" style="5" bestFit="1" customWidth="1"/>
    <col min="12299" max="12299" width="15" style="5" bestFit="1" customWidth="1"/>
    <col min="12300" max="12300" width="2.140625" style="5" bestFit="1" customWidth="1"/>
    <col min="12301" max="12301" width="9.140625" style="5"/>
    <col min="12302" max="12302" width="11.140625" style="5" bestFit="1" customWidth="1"/>
    <col min="12303" max="12545" width="9.140625" style="5"/>
    <col min="12546" max="12546" width="14.42578125" style="5" bestFit="1" customWidth="1"/>
    <col min="12547" max="12547" width="8.7109375" style="5" bestFit="1" customWidth="1"/>
    <col min="12548" max="12548" width="36.7109375" style="5" bestFit="1" customWidth="1"/>
    <col min="12549" max="12549" width="15" style="5" bestFit="1" customWidth="1"/>
    <col min="12550" max="12550" width="5.140625" style="5" bestFit="1" customWidth="1"/>
    <col min="12551" max="12551" width="15" style="5" bestFit="1" customWidth="1"/>
    <col min="12552" max="12552" width="5.140625" style="5" bestFit="1" customWidth="1"/>
    <col min="12553" max="12553" width="15" style="5" bestFit="1" customWidth="1"/>
    <col min="12554" max="12554" width="5.140625" style="5" bestFit="1" customWidth="1"/>
    <col min="12555" max="12555" width="15" style="5" bestFit="1" customWidth="1"/>
    <col min="12556" max="12556" width="2.140625" style="5" bestFit="1" customWidth="1"/>
    <col min="12557" max="12557" width="9.140625" style="5"/>
    <col min="12558" max="12558" width="11.140625" style="5" bestFit="1" customWidth="1"/>
    <col min="12559" max="12801" width="9.140625" style="5"/>
    <col min="12802" max="12802" width="14.42578125" style="5" bestFit="1" customWidth="1"/>
    <col min="12803" max="12803" width="8.7109375" style="5" bestFit="1" customWidth="1"/>
    <col min="12804" max="12804" width="36.7109375" style="5" bestFit="1" customWidth="1"/>
    <col min="12805" max="12805" width="15" style="5" bestFit="1" customWidth="1"/>
    <col min="12806" max="12806" width="5.140625" style="5" bestFit="1" customWidth="1"/>
    <col min="12807" max="12807" width="15" style="5" bestFit="1" customWidth="1"/>
    <col min="12808" max="12808" width="5.140625" style="5" bestFit="1" customWidth="1"/>
    <col min="12809" max="12809" width="15" style="5" bestFit="1" customWidth="1"/>
    <col min="12810" max="12810" width="5.140625" style="5" bestFit="1" customWidth="1"/>
    <col min="12811" max="12811" width="15" style="5" bestFit="1" customWidth="1"/>
    <col min="12812" max="12812" width="2.140625" style="5" bestFit="1" customWidth="1"/>
    <col min="12813" max="12813" width="9.140625" style="5"/>
    <col min="12814" max="12814" width="11.140625" style="5" bestFit="1" customWidth="1"/>
    <col min="12815" max="13057" width="9.140625" style="5"/>
    <col min="13058" max="13058" width="14.42578125" style="5" bestFit="1" customWidth="1"/>
    <col min="13059" max="13059" width="8.7109375" style="5" bestFit="1" customWidth="1"/>
    <col min="13060" max="13060" width="36.7109375" style="5" bestFit="1" customWidth="1"/>
    <col min="13061" max="13061" width="15" style="5" bestFit="1" customWidth="1"/>
    <col min="13062" max="13062" width="5.140625" style="5" bestFit="1" customWidth="1"/>
    <col min="13063" max="13063" width="15" style="5" bestFit="1" customWidth="1"/>
    <col min="13064" max="13064" width="5.140625" style="5" bestFit="1" customWidth="1"/>
    <col min="13065" max="13065" width="15" style="5" bestFit="1" customWidth="1"/>
    <col min="13066" max="13066" width="5.140625" style="5" bestFit="1" customWidth="1"/>
    <col min="13067" max="13067" width="15" style="5" bestFit="1" customWidth="1"/>
    <col min="13068" max="13068" width="2.140625" style="5" bestFit="1" customWidth="1"/>
    <col min="13069" max="13069" width="9.140625" style="5"/>
    <col min="13070" max="13070" width="11.140625" style="5" bestFit="1" customWidth="1"/>
    <col min="13071" max="13313" width="9.140625" style="5"/>
    <col min="13314" max="13314" width="14.42578125" style="5" bestFit="1" customWidth="1"/>
    <col min="13315" max="13315" width="8.7109375" style="5" bestFit="1" customWidth="1"/>
    <col min="13316" max="13316" width="36.7109375" style="5" bestFit="1" customWidth="1"/>
    <col min="13317" max="13317" width="15" style="5" bestFit="1" customWidth="1"/>
    <col min="13318" max="13318" width="5.140625" style="5" bestFit="1" customWidth="1"/>
    <col min="13319" max="13319" width="15" style="5" bestFit="1" customWidth="1"/>
    <col min="13320" max="13320" width="5.140625" style="5" bestFit="1" customWidth="1"/>
    <col min="13321" max="13321" width="15" style="5" bestFit="1" customWidth="1"/>
    <col min="13322" max="13322" width="5.140625" style="5" bestFit="1" customWidth="1"/>
    <col min="13323" max="13323" width="15" style="5" bestFit="1" customWidth="1"/>
    <col min="13324" max="13324" width="2.140625" style="5" bestFit="1" customWidth="1"/>
    <col min="13325" max="13325" width="9.140625" style="5"/>
    <col min="13326" max="13326" width="11.140625" style="5" bestFit="1" customWidth="1"/>
    <col min="13327" max="13569" width="9.140625" style="5"/>
    <col min="13570" max="13570" width="14.42578125" style="5" bestFit="1" customWidth="1"/>
    <col min="13571" max="13571" width="8.7109375" style="5" bestFit="1" customWidth="1"/>
    <col min="13572" max="13572" width="36.7109375" style="5" bestFit="1" customWidth="1"/>
    <col min="13573" max="13573" width="15" style="5" bestFit="1" customWidth="1"/>
    <col min="13574" max="13574" width="5.140625" style="5" bestFit="1" customWidth="1"/>
    <col min="13575" max="13575" width="15" style="5" bestFit="1" customWidth="1"/>
    <col min="13576" max="13576" width="5.140625" style="5" bestFit="1" customWidth="1"/>
    <col min="13577" max="13577" width="15" style="5" bestFit="1" customWidth="1"/>
    <col min="13578" max="13578" width="5.140625" style="5" bestFit="1" customWidth="1"/>
    <col min="13579" max="13579" width="15" style="5" bestFit="1" customWidth="1"/>
    <col min="13580" max="13580" width="2.140625" style="5" bestFit="1" customWidth="1"/>
    <col min="13581" max="13581" width="9.140625" style="5"/>
    <col min="13582" max="13582" width="11.140625" style="5" bestFit="1" customWidth="1"/>
    <col min="13583" max="13825" width="9.140625" style="5"/>
    <col min="13826" max="13826" width="14.42578125" style="5" bestFit="1" customWidth="1"/>
    <col min="13827" max="13827" width="8.7109375" style="5" bestFit="1" customWidth="1"/>
    <col min="13828" max="13828" width="36.7109375" style="5" bestFit="1" customWidth="1"/>
    <col min="13829" max="13829" width="15" style="5" bestFit="1" customWidth="1"/>
    <col min="13830" max="13830" width="5.140625" style="5" bestFit="1" customWidth="1"/>
    <col min="13831" max="13831" width="15" style="5" bestFit="1" customWidth="1"/>
    <col min="13832" max="13832" width="5.140625" style="5" bestFit="1" customWidth="1"/>
    <col min="13833" max="13833" width="15" style="5" bestFit="1" customWidth="1"/>
    <col min="13834" max="13834" width="5.140625" style="5" bestFit="1" customWidth="1"/>
    <col min="13835" max="13835" width="15" style="5" bestFit="1" customWidth="1"/>
    <col min="13836" max="13836" width="2.140625" style="5" bestFit="1" customWidth="1"/>
    <col min="13837" max="13837" width="9.140625" style="5"/>
    <col min="13838" max="13838" width="11.140625" style="5" bestFit="1" customWidth="1"/>
    <col min="13839" max="14081" width="9.140625" style="5"/>
    <col min="14082" max="14082" width="14.42578125" style="5" bestFit="1" customWidth="1"/>
    <col min="14083" max="14083" width="8.7109375" style="5" bestFit="1" customWidth="1"/>
    <col min="14084" max="14084" width="36.7109375" style="5" bestFit="1" customWidth="1"/>
    <col min="14085" max="14085" width="15" style="5" bestFit="1" customWidth="1"/>
    <col min="14086" max="14086" width="5.140625" style="5" bestFit="1" customWidth="1"/>
    <col min="14087" max="14087" width="15" style="5" bestFit="1" customWidth="1"/>
    <col min="14088" max="14088" width="5.140625" style="5" bestFit="1" customWidth="1"/>
    <col min="14089" max="14089" width="15" style="5" bestFit="1" customWidth="1"/>
    <col min="14090" max="14090" width="5.140625" style="5" bestFit="1" customWidth="1"/>
    <col min="14091" max="14091" width="15" style="5" bestFit="1" customWidth="1"/>
    <col min="14092" max="14092" width="2.140625" style="5" bestFit="1" customWidth="1"/>
    <col min="14093" max="14093" width="9.140625" style="5"/>
    <col min="14094" max="14094" width="11.140625" style="5" bestFit="1" customWidth="1"/>
    <col min="14095" max="14337" width="9.140625" style="5"/>
    <col min="14338" max="14338" width="14.42578125" style="5" bestFit="1" customWidth="1"/>
    <col min="14339" max="14339" width="8.7109375" style="5" bestFit="1" customWidth="1"/>
    <col min="14340" max="14340" width="36.7109375" style="5" bestFit="1" customWidth="1"/>
    <col min="14341" max="14341" width="15" style="5" bestFit="1" customWidth="1"/>
    <col min="14342" max="14342" width="5.140625" style="5" bestFit="1" customWidth="1"/>
    <col min="14343" max="14343" width="15" style="5" bestFit="1" customWidth="1"/>
    <col min="14344" max="14344" width="5.140625" style="5" bestFit="1" customWidth="1"/>
    <col min="14345" max="14345" width="15" style="5" bestFit="1" customWidth="1"/>
    <col min="14346" max="14346" width="5.140625" style="5" bestFit="1" customWidth="1"/>
    <col min="14347" max="14347" width="15" style="5" bestFit="1" customWidth="1"/>
    <col min="14348" max="14348" width="2.140625" style="5" bestFit="1" customWidth="1"/>
    <col min="14349" max="14349" width="9.140625" style="5"/>
    <col min="14350" max="14350" width="11.140625" style="5" bestFit="1" customWidth="1"/>
    <col min="14351" max="14593" width="9.140625" style="5"/>
    <col min="14594" max="14594" width="14.42578125" style="5" bestFit="1" customWidth="1"/>
    <col min="14595" max="14595" width="8.7109375" style="5" bestFit="1" customWidth="1"/>
    <col min="14596" max="14596" width="36.7109375" style="5" bestFit="1" customWidth="1"/>
    <col min="14597" max="14597" width="15" style="5" bestFit="1" customWidth="1"/>
    <col min="14598" max="14598" width="5.140625" style="5" bestFit="1" customWidth="1"/>
    <col min="14599" max="14599" width="15" style="5" bestFit="1" customWidth="1"/>
    <col min="14600" max="14600" width="5.140625" style="5" bestFit="1" customWidth="1"/>
    <col min="14601" max="14601" width="15" style="5" bestFit="1" customWidth="1"/>
    <col min="14602" max="14602" width="5.140625" style="5" bestFit="1" customWidth="1"/>
    <col min="14603" max="14603" width="15" style="5" bestFit="1" customWidth="1"/>
    <col min="14604" max="14604" width="2.140625" style="5" bestFit="1" customWidth="1"/>
    <col min="14605" max="14605" width="9.140625" style="5"/>
    <col min="14606" max="14606" width="11.140625" style="5" bestFit="1" customWidth="1"/>
    <col min="14607" max="14849" width="9.140625" style="5"/>
    <col min="14850" max="14850" width="14.42578125" style="5" bestFit="1" customWidth="1"/>
    <col min="14851" max="14851" width="8.7109375" style="5" bestFit="1" customWidth="1"/>
    <col min="14852" max="14852" width="36.7109375" style="5" bestFit="1" customWidth="1"/>
    <col min="14853" max="14853" width="15" style="5" bestFit="1" customWidth="1"/>
    <col min="14854" max="14854" width="5.140625" style="5" bestFit="1" customWidth="1"/>
    <col min="14855" max="14855" width="15" style="5" bestFit="1" customWidth="1"/>
    <col min="14856" max="14856" width="5.140625" style="5" bestFit="1" customWidth="1"/>
    <col min="14857" max="14857" width="15" style="5" bestFit="1" customWidth="1"/>
    <col min="14858" max="14858" width="5.140625" style="5" bestFit="1" customWidth="1"/>
    <col min="14859" max="14859" width="15" style="5" bestFit="1" customWidth="1"/>
    <col min="14860" max="14860" width="2.140625" style="5" bestFit="1" customWidth="1"/>
    <col min="14861" max="14861" width="9.140625" style="5"/>
    <col min="14862" max="14862" width="11.140625" style="5" bestFit="1" customWidth="1"/>
    <col min="14863" max="15105" width="9.140625" style="5"/>
    <col min="15106" max="15106" width="14.42578125" style="5" bestFit="1" customWidth="1"/>
    <col min="15107" max="15107" width="8.7109375" style="5" bestFit="1" customWidth="1"/>
    <col min="15108" max="15108" width="36.7109375" style="5" bestFit="1" customWidth="1"/>
    <col min="15109" max="15109" width="15" style="5" bestFit="1" customWidth="1"/>
    <col min="15110" max="15110" width="5.140625" style="5" bestFit="1" customWidth="1"/>
    <col min="15111" max="15111" width="15" style="5" bestFit="1" customWidth="1"/>
    <col min="15112" max="15112" width="5.140625" style="5" bestFit="1" customWidth="1"/>
    <col min="15113" max="15113" width="15" style="5" bestFit="1" customWidth="1"/>
    <col min="15114" max="15114" width="5.140625" style="5" bestFit="1" customWidth="1"/>
    <col min="15115" max="15115" width="15" style="5" bestFit="1" customWidth="1"/>
    <col min="15116" max="15116" width="2.140625" style="5" bestFit="1" customWidth="1"/>
    <col min="15117" max="15117" width="9.140625" style="5"/>
    <col min="15118" max="15118" width="11.140625" style="5" bestFit="1" customWidth="1"/>
    <col min="15119" max="15361" width="9.140625" style="5"/>
    <col min="15362" max="15362" width="14.42578125" style="5" bestFit="1" customWidth="1"/>
    <col min="15363" max="15363" width="8.7109375" style="5" bestFit="1" customWidth="1"/>
    <col min="15364" max="15364" width="36.7109375" style="5" bestFit="1" customWidth="1"/>
    <col min="15365" max="15365" width="15" style="5" bestFit="1" customWidth="1"/>
    <col min="15366" max="15366" width="5.140625" style="5" bestFit="1" customWidth="1"/>
    <col min="15367" max="15367" width="15" style="5" bestFit="1" customWidth="1"/>
    <col min="15368" max="15368" width="5.140625" style="5" bestFit="1" customWidth="1"/>
    <col min="15369" max="15369" width="15" style="5" bestFit="1" customWidth="1"/>
    <col min="15370" max="15370" width="5.140625" style="5" bestFit="1" customWidth="1"/>
    <col min="15371" max="15371" width="15" style="5" bestFit="1" customWidth="1"/>
    <col min="15372" max="15372" width="2.140625" style="5" bestFit="1" customWidth="1"/>
    <col min="15373" max="15373" width="9.140625" style="5"/>
    <col min="15374" max="15374" width="11.140625" style="5" bestFit="1" customWidth="1"/>
    <col min="15375" max="15617" width="9.140625" style="5"/>
    <col min="15618" max="15618" width="14.42578125" style="5" bestFit="1" customWidth="1"/>
    <col min="15619" max="15619" width="8.7109375" style="5" bestFit="1" customWidth="1"/>
    <col min="15620" max="15620" width="36.7109375" style="5" bestFit="1" customWidth="1"/>
    <col min="15621" max="15621" width="15" style="5" bestFit="1" customWidth="1"/>
    <col min="15622" max="15622" width="5.140625" style="5" bestFit="1" customWidth="1"/>
    <col min="15623" max="15623" width="15" style="5" bestFit="1" customWidth="1"/>
    <col min="15624" max="15624" width="5.140625" style="5" bestFit="1" customWidth="1"/>
    <col min="15625" max="15625" width="15" style="5" bestFit="1" customWidth="1"/>
    <col min="15626" max="15626" width="5.140625" style="5" bestFit="1" customWidth="1"/>
    <col min="15627" max="15627" width="15" style="5" bestFit="1" customWidth="1"/>
    <col min="15628" max="15628" width="2.140625" style="5" bestFit="1" customWidth="1"/>
    <col min="15629" max="15629" width="9.140625" style="5"/>
    <col min="15630" max="15630" width="11.140625" style="5" bestFit="1" customWidth="1"/>
    <col min="15631" max="15873" width="9.140625" style="5"/>
    <col min="15874" max="15874" width="14.42578125" style="5" bestFit="1" customWidth="1"/>
    <col min="15875" max="15875" width="8.7109375" style="5" bestFit="1" customWidth="1"/>
    <col min="15876" max="15876" width="36.7109375" style="5" bestFit="1" customWidth="1"/>
    <col min="15877" max="15877" width="15" style="5" bestFit="1" customWidth="1"/>
    <col min="15878" max="15878" width="5.140625" style="5" bestFit="1" customWidth="1"/>
    <col min="15879" max="15879" width="15" style="5" bestFit="1" customWidth="1"/>
    <col min="15880" max="15880" width="5.140625" style="5" bestFit="1" customWidth="1"/>
    <col min="15881" max="15881" width="15" style="5" bestFit="1" customWidth="1"/>
    <col min="15882" max="15882" width="5.140625" style="5" bestFit="1" customWidth="1"/>
    <col min="15883" max="15883" width="15" style="5" bestFit="1" customWidth="1"/>
    <col min="15884" max="15884" width="2.140625" style="5" bestFit="1" customWidth="1"/>
    <col min="15885" max="15885" width="9.140625" style="5"/>
    <col min="15886" max="15886" width="11.140625" style="5" bestFit="1" customWidth="1"/>
    <col min="15887" max="16129" width="9.140625" style="5"/>
    <col min="16130" max="16130" width="14.42578125" style="5" bestFit="1" customWidth="1"/>
    <col min="16131" max="16131" width="8.7109375" style="5" bestFit="1" customWidth="1"/>
    <col min="16132" max="16132" width="36.7109375" style="5" bestFit="1" customWidth="1"/>
    <col min="16133" max="16133" width="15" style="5" bestFit="1" customWidth="1"/>
    <col min="16134" max="16134" width="5.140625" style="5" bestFit="1" customWidth="1"/>
    <col min="16135" max="16135" width="15" style="5" bestFit="1" customWidth="1"/>
    <col min="16136" max="16136" width="5.140625" style="5" bestFit="1" customWidth="1"/>
    <col min="16137" max="16137" width="15" style="5" bestFit="1" customWidth="1"/>
    <col min="16138" max="16138" width="5.140625" style="5" bestFit="1" customWidth="1"/>
    <col min="16139" max="16139" width="15" style="5" bestFit="1" customWidth="1"/>
    <col min="16140" max="16140" width="2.140625" style="5" bestFit="1" customWidth="1"/>
    <col min="16141" max="16141" width="9.140625" style="5"/>
    <col min="16142" max="16142" width="11.140625" style="5" bestFit="1" customWidth="1"/>
    <col min="16143" max="16384" width="9.140625" style="5"/>
  </cols>
  <sheetData>
    <row r="1" spans="1:16" x14ac:dyDescent="0.25">
      <c r="A1" t="s">
        <v>6</v>
      </c>
      <c r="B1" t="s">
        <v>7</v>
      </c>
      <c r="C1" t="s">
        <v>8</v>
      </c>
      <c r="D1" t="s">
        <v>9</v>
      </c>
      <c r="F1" t="s">
        <v>10</v>
      </c>
      <c r="G1">
        <v>1</v>
      </c>
      <c r="H1" t="s">
        <v>11</v>
      </c>
      <c r="I1">
        <v>0</v>
      </c>
      <c r="J1" t="s">
        <v>12</v>
      </c>
      <c r="N1" s="7" t="s">
        <v>13</v>
      </c>
      <c r="P1" s="7"/>
    </row>
    <row r="2" spans="1:16" x14ac:dyDescent="0.25">
      <c r="A2" t="s">
        <v>14</v>
      </c>
      <c r="B2">
        <v>-62</v>
      </c>
      <c r="H2" t="s">
        <v>15</v>
      </c>
      <c r="I2" t="s">
        <v>16</v>
      </c>
      <c r="J2" t="s">
        <v>17</v>
      </c>
      <c r="N2" s="6" t="str">
        <f>IF(ISERROR(VLOOKUP($A2,'Plano de Contas'!#REF!,8,FALSE)),"",VLOOKUP($A2,'Plano de Contas'!#REF!,8,FALSE))</f>
        <v/>
      </c>
    </row>
    <row r="3" spans="1:16" x14ac:dyDescent="0.25">
      <c r="J3" t="s">
        <v>18</v>
      </c>
      <c r="K3">
        <v>2</v>
      </c>
      <c r="N3" s="6" t="str">
        <f>IF(ISERROR(VLOOKUP($A3,'Plano de Contas'!#REF!,8,FALSE)),"",VLOOKUP($A3,'Plano de Contas'!#REF!,8,FALSE))</f>
        <v/>
      </c>
    </row>
    <row r="4" spans="1:16" x14ac:dyDescent="0.25">
      <c r="A4" t="s">
        <v>19</v>
      </c>
      <c r="B4" t="s">
        <v>20</v>
      </c>
      <c r="C4" t="s">
        <v>21</v>
      </c>
      <c r="D4" t="s">
        <v>22</v>
      </c>
      <c r="E4" t="s">
        <v>23</v>
      </c>
      <c r="F4" t="s">
        <v>24</v>
      </c>
      <c r="G4" t="s">
        <v>25</v>
      </c>
      <c r="H4" t="s">
        <v>26</v>
      </c>
      <c r="I4" t="s">
        <v>25</v>
      </c>
      <c r="J4" t="s">
        <v>27</v>
      </c>
      <c r="K4" t="s">
        <v>25</v>
      </c>
      <c r="L4" t="s">
        <v>28</v>
      </c>
      <c r="N4" s="6" t="str">
        <f>IF(ISERROR(VLOOKUP($A4,'Plano de Contas'!#REF!,8,FALSE)),"",VLOOKUP($A4,'Plano de Contas'!#REF!,8,FALSE))</f>
        <v/>
      </c>
    </row>
    <row r="5" spans="1:16" x14ac:dyDescent="0.25">
      <c r="A5" t="s">
        <v>29</v>
      </c>
      <c r="B5" t="s">
        <v>30</v>
      </c>
      <c r="C5" t="s">
        <v>31</v>
      </c>
      <c r="D5" t="s">
        <v>32</v>
      </c>
      <c r="E5" t="s">
        <v>33</v>
      </c>
      <c r="F5" t="s">
        <v>32</v>
      </c>
      <c r="G5" t="s">
        <v>33</v>
      </c>
      <c r="H5" t="s">
        <v>32</v>
      </c>
      <c r="I5" t="s">
        <v>33</v>
      </c>
      <c r="J5" t="s">
        <v>32</v>
      </c>
      <c r="K5" t="s">
        <v>33</v>
      </c>
      <c r="N5" s="6" t="str">
        <f>IF(ISERROR(VLOOKUP($A5,'Plano de Contas'!#REF!,8,FALSE)),"",VLOOKUP($A5,'Plano de Contas'!#REF!,8,FALSE))</f>
        <v/>
      </c>
      <c r="P5" s="6" t="str">
        <f>IF(ISERROR(VLOOKUP($A5,'Plano de Contas'!#REF!,10,FALSE)),"",VLOOKUP($A5,'Plano de Contas'!#REF!,10,FALSE))</f>
        <v/>
      </c>
    </row>
    <row r="6" spans="1:16" x14ac:dyDescent="0.25">
      <c r="N6" s="6" t="str">
        <f>IF(ISERROR(VLOOKUP($A6,'Plano de Contas'!#REF!,8,FALSE)),"",VLOOKUP($A6,'Plano de Contas'!#REF!,8,FALSE))</f>
        <v/>
      </c>
      <c r="P6" s="6" t="str">
        <f>IF(ISERROR(VLOOKUP($A6,'Plano de Contas'!#REF!,10,FALSE)),"",VLOOKUP($A6,'Plano de Contas'!#REF!,10,FALSE))</f>
        <v/>
      </c>
    </row>
    <row r="7" spans="1:16" x14ac:dyDescent="0.25">
      <c r="A7">
        <v>1</v>
      </c>
      <c r="B7">
        <v>1</v>
      </c>
      <c r="C7" t="s">
        <v>34</v>
      </c>
      <c r="D7" s="10">
        <v>2823608912.5300002</v>
      </c>
      <c r="F7" s="10">
        <v>228504464.61000001</v>
      </c>
      <c r="H7" s="10">
        <v>179242967.55000001</v>
      </c>
      <c r="I7" t="s">
        <v>35</v>
      </c>
      <c r="J7" s="10">
        <v>2872870409.5900002</v>
      </c>
      <c r="L7" s="1">
        <f>IF(K7="-",-J7,J7)</f>
        <v>2872870409.5900002</v>
      </c>
      <c r="N7" s="6" t="str">
        <f>IF(ISERROR(VLOOKUP($A7,'Plano de Contas'!#REF!,8,FALSE)),"",VLOOKUP($A7,'Plano de Contas'!#REF!,8,FALSE))</f>
        <v/>
      </c>
      <c r="P7" s="6" t="str">
        <f>IF(ISERROR(VLOOKUP($A7,'Plano de Contas'!#REF!,10,FALSE)),"",VLOOKUP($A7,'Plano de Contas'!#REF!,10,FALSE))</f>
        <v/>
      </c>
    </row>
    <row r="8" spans="1:16" x14ac:dyDescent="0.25">
      <c r="L8" s="1">
        <f t="shared" ref="L8:L71" si="0">IF(K8="-",-J8,J8)</f>
        <v>0</v>
      </c>
      <c r="N8" s="6" t="str">
        <f>IF(ISERROR(VLOOKUP($A8,'Plano de Contas'!#REF!,8,FALSE)),"",VLOOKUP($A8,'Plano de Contas'!#REF!,8,FALSE))</f>
        <v/>
      </c>
      <c r="P8" s="6" t="str">
        <f>IF(ISERROR(VLOOKUP($A8,'Plano de Contas'!#REF!,10,FALSE)),"",VLOOKUP($A8,'Plano de Contas'!#REF!,10,FALSE))</f>
        <v/>
      </c>
    </row>
    <row r="9" spans="1:16" x14ac:dyDescent="0.25">
      <c r="A9" t="s">
        <v>36</v>
      </c>
      <c r="B9">
        <v>2</v>
      </c>
      <c r="C9" t="s">
        <v>37</v>
      </c>
      <c r="D9" s="10">
        <v>95041863.920000002</v>
      </c>
      <c r="F9" s="10">
        <v>188898686.59999999</v>
      </c>
      <c r="H9" s="10">
        <v>177800229.59</v>
      </c>
      <c r="I9" t="s">
        <v>35</v>
      </c>
      <c r="J9" s="10">
        <v>106140320.93000001</v>
      </c>
      <c r="L9" s="1">
        <f t="shared" si="0"/>
        <v>106140320.93000001</v>
      </c>
      <c r="N9" s="6" t="str">
        <f>IF(ISERROR(VLOOKUP($A9,'Plano de Contas'!#REF!,8,FALSE)),"",VLOOKUP($A9,'Plano de Contas'!#REF!,8,FALSE))</f>
        <v/>
      </c>
      <c r="P9" s="6" t="str">
        <f>IF(ISERROR(VLOOKUP($A9,'Plano de Contas'!#REF!,10,FALSE)),"",VLOOKUP($A9,'Plano de Contas'!#REF!,10,FALSE))</f>
        <v/>
      </c>
    </row>
    <row r="10" spans="1:16" x14ac:dyDescent="0.25">
      <c r="L10" s="1">
        <f t="shared" si="0"/>
        <v>0</v>
      </c>
      <c r="N10" s="6" t="str">
        <f>IF(ISERROR(VLOOKUP($A10,'Plano de Contas'!#REF!,8,FALSE)),"",VLOOKUP($A10,'Plano de Contas'!#REF!,8,FALSE))</f>
        <v/>
      </c>
      <c r="P10" s="6" t="str">
        <f>IF(ISERROR(VLOOKUP($A10,'Plano de Contas'!#REF!,10,FALSE)),"",VLOOKUP($A10,'Plano de Contas'!#REF!,10,FALSE))</f>
        <v/>
      </c>
    </row>
    <row r="11" spans="1:16" x14ac:dyDescent="0.25">
      <c r="A11" t="s">
        <v>38</v>
      </c>
      <c r="B11">
        <v>3</v>
      </c>
      <c r="C11" t="s">
        <v>39</v>
      </c>
      <c r="D11" s="10">
        <v>53362594.060000002</v>
      </c>
      <c r="F11" s="10">
        <v>168190825.16</v>
      </c>
      <c r="H11" s="10">
        <v>164429673.69</v>
      </c>
      <c r="I11" t="s">
        <v>35</v>
      </c>
      <c r="J11" s="10">
        <v>57123745.530000001</v>
      </c>
      <c r="L11" s="1">
        <f t="shared" si="0"/>
        <v>57123745.530000001</v>
      </c>
      <c r="N11" s="6" t="str">
        <f>IF(ISERROR(VLOOKUP($A11,'Plano de Contas'!#REF!,8,FALSE)),"",VLOOKUP($A11,'Plano de Contas'!#REF!,8,FALSE))</f>
        <v/>
      </c>
      <c r="P11" s="6" t="str">
        <f>IF(ISERROR(VLOOKUP($A11,'Plano de Contas'!#REF!,10,FALSE)),"",VLOOKUP($A11,'Plano de Contas'!#REF!,10,FALSE))</f>
        <v/>
      </c>
    </row>
    <row r="12" spans="1:16" x14ac:dyDescent="0.25">
      <c r="L12" s="1">
        <f t="shared" si="0"/>
        <v>0</v>
      </c>
      <c r="N12" s="6" t="str">
        <f>IF(ISERROR(VLOOKUP($A12,'Plano de Contas'!#REF!,8,FALSE)),"",VLOOKUP($A12,'Plano de Contas'!#REF!,8,FALSE))</f>
        <v/>
      </c>
      <c r="P12" s="6" t="str">
        <f>IF(ISERROR(VLOOKUP($A12,'Plano de Contas'!#REF!,10,FALSE)),"",VLOOKUP($A12,'Plano de Contas'!#REF!,10,FALSE))</f>
        <v/>
      </c>
    </row>
    <row r="13" spans="1:16" x14ac:dyDescent="0.25">
      <c r="A13" t="s">
        <v>40</v>
      </c>
      <c r="B13">
        <v>4</v>
      </c>
      <c r="C13" t="s">
        <v>41</v>
      </c>
      <c r="D13" s="10">
        <v>3287.04</v>
      </c>
      <c r="E13" t="s">
        <v>35</v>
      </c>
      <c r="F13" s="10">
        <v>3287.04</v>
      </c>
      <c r="H13">
        <v>0</v>
      </c>
      <c r="J13">
        <v>0</v>
      </c>
      <c r="L13" s="1">
        <f t="shared" si="0"/>
        <v>0</v>
      </c>
      <c r="N13" s="6" t="str">
        <f>IF(ISERROR(VLOOKUP($A13,'Plano de Contas'!#REF!,8,FALSE)),"",VLOOKUP($A13,'Plano de Contas'!#REF!,8,FALSE))</f>
        <v/>
      </c>
      <c r="P13" s="6" t="str">
        <f>IF(ISERROR(VLOOKUP($A13,'Plano de Contas'!#REF!,10,FALSE)),"",VLOOKUP($A13,'Plano de Contas'!#REF!,10,FALSE))</f>
        <v/>
      </c>
    </row>
    <row r="14" spans="1:16" x14ac:dyDescent="0.25">
      <c r="A14" t="s">
        <v>42</v>
      </c>
      <c r="B14">
        <v>6</v>
      </c>
      <c r="C14" t="s">
        <v>43</v>
      </c>
      <c r="D14" s="10">
        <v>3287.04</v>
      </c>
      <c r="E14" t="s">
        <v>35</v>
      </c>
      <c r="F14" s="10">
        <v>3287.04</v>
      </c>
      <c r="H14">
        <v>0</v>
      </c>
      <c r="J14">
        <v>0</v>
      </c>
      <c r="L14" s="1">
        <f t="shared" si="0"/>
        <v>0</v>
      </c>
      <c r="N14" s="6" t="str">
        <f>IF(ISERROR(VLOOKUP($A14,'Plano de Contas'!#REF!,8,FALSE)),"",VLOOKUP($A14,'Plano de Contas'!#REF!,8,FALSE))</f>
        <v/>
      </c>
      <c r="P14" s="6" t="str">
        <f>IF(ISERROR(VLOOKUP($A14,'Plano de Contas'!#REF!,10,FALSE)),"",VLOOKUP($A14,'Plano de Contas'!#REF!,10,FALSE))</f>
        <v/>
      </c>
    </row>
    <row r="15" spans="1:16" x14ac:dyDescent="0.25">
      <c r="L15" s="1">
        <f t="shared" si="0"/>
        <v>0</v>
      </c>
      <c r="N15" s="6" t="str">
        <f>IF(ISERROR(VLOOKUP($A15,'Plano de Contas'!#REF!,8,FALSE)),"",VLOOKUP($A15,'Plano de Contas'!#REF!,8,FALSE))</f>
        <v/>
      </c>
      <c r="P15" s="6" t="str">
        <f>IF(ISERROR(VLOOKUP($A15,'Plano de Contas'!#REF!,10,FALSE)),"",VLOOKUP($A15,'Plano de Contas'!#REF!,10,FALSE))</f>
        <v/>
      </c>
    </row>
    <row r="16" spans="1:16" x14ac:dyDescent="0.25">
      <c r="A16" t="s">
        <v>44</v>
      </c>
      <c r="B16">
        <v>7</v>
      </c>
      <c r="C16" t="s">
        <v>45</v>
      </c>
      <c r="D16" s="10">
        <v>12938594.32</v>
      </c>
      <c r="F16" s="10">
        <v>155834190.19</v>
      </c>
      <c r="H16" s="10">
        <v>149952032.22</v>
      </c>
      <c r="I16" t="s">
        <v>35</v>
      </c>
      <c r="J16" s="10">
        <v>18820752.289999999</v>
      </c>
      <c r="L16" s="1">
        <f t="shared" si="0"/>
        <v>18820752.289999999</v>
      </c>
      <c r="N16" s="6" t="str">
        <f>IF(ISERROR(VLOOKUP($A16,'Plano de Contas'!#REF!,8,FALSE)),"",VLOOKUP($A16,'Plano de Contas'!#REF!,8,FALSE))</f>
        <v/>
      </c>
      <c r="P16" s="6" t="str">
        <f>IF(ISERROR(VLOOKUP($A16,'Plano de Contas'!#REF!,10,FALSE)),"",VLOOKUP($A16,'Plano de Contas'!#REF!,10,FALSE))</f>
        <v/>
      </c>
    </row>
    <row r="17" spans="1:16" x14ac:dyDescent="0.25">
      <c r="A17" t="s">
        <v>46</v>
      </c>
      <c r="B17">
        <v>11</v>
      </c>
      <c r="C17" t="s">
        <v>47</v>
      </c>
      <c r="D17">
        <v>0.01</v>
      </c>
      <c r="F17">
        <v>0</v>
      </c>
      <c r="H17">
        <v>0</v>
      </c>
      <c r="J17">
        <v>0.01</v>
      </c>
      <c r="L17" s="1">
        <f t="shared" si="0"/>
        <v>0.01</v>
      </c>
      <c r="N17" s="6" t="str">
        <f>IF(ISERROR(VLOOKUP($A17,'Plano de Contas'!#REF!,8,FALSE)),"",VLOOKUP($A17,'Plano de Contas'!#REF!,8,FALSE))</f>
        <v/>
      </c>
      <c r="P17" s="6" t="str">
        <f>IF(ISERROR(VLOOKUP($A17,'Plano de Contas'!#REF!,10,FALSE)),"",VLOOKUP($A17,'Plano de Contas'!#REF!,10,FALSE))</f>
        <v/>
      </c>
    </row>
    <row r="18" spans="1:16" x14ac:dyDescent="0.25">
      <c r="A18" t="s">
        <v>48</v>
      </c>
      <c r="B18">
        <v>12</v>
      </c>
      <c r="C18" t="s">
        <v>49</v>
      </c>
      <c r="D18" s="10">
        <v>296275.09999999998</v>
      </c>
      <c r="F18" s="10">
        <v>3413866.18</v>
      </c>
      <c r="H18" s="10">
        <v>3263707.44</v>
      </c>
      <c r="I18" t="s">
        <v>35</v>
      </c>
      <c r="J18" s="10">
        <v>446433.84</v>
      </c>
      <c r="L18" s="1">
        <f t="shared" si="0"/>
        <v>446433.84</v>
      </c>
      <c r="N18" s="6" t="str">
        <f>IF(ISERROR(VLOOKUP($A18,'Plano de Contas'!#REF!,8,FALSE)),"",VLOOKUP($A18,'Plano de Contas'!#REF!,8,FALSE))</f>
        <v/>
      </c>
      <c r="P18" s="6" t="str">
        <f>IF(ISERROR(VLOOKUP($A18,'Plano de Contas'!#REF!,10,FALSE)),"",VLOOKUP($A18,'Plano de Contas'!#REF!,10,FALSE))</f>
        <v/>
      </c>
    </row>
    <row r="19" spans="1:16" x14ac:dyDescent="0.25">
      <c r="A19" t="s">
        <v>50</v>
      </c>
      <c r="B19">
        <v>14</v>
      </c>
      <c r="C19" t="s">
        <v>51</v>
      </c>
      <c r="D19">
        <v>17.86</v>
      </c>
      <c r="F19">
        <v>0</v>
      </c>
      <c r="H19">
        <v>0</v>
      </c>
      <c r="J19">
        <v>17.86</v>
      </c>
      <c r="L19" s="1">
        <f t="shared" si="0"/>
        <v>17.86</v>
      </c>
      <c r="N19" s="6" t="str">
        <f>IF(ISERROR(VLOOKUP($A19,'Plano de Contas'!#REF!,8,FALSE)),"",VLOOKUP($A19,'Plano de Contas'!#REF!,8,FALSE))</f>
        <v/>
      </c>
      <c r="P19" s="6" t="str">
        <f>IF(ISERROR(VLOOKUP($A19,'Plano de Contas'!#REF!,10,FALSE)),"",VLOOKUP($A19,'Plano de Contas'!#REF!,10,FALSE))</f>
        <v/>
      </c>
    </row>
    <row r="20" spans="1:16" x14ac:dyDescent="0.25">
      <c r="A20" t="s">
        <v>52</v>
      </c>
      <c r="B20">
        <v>544</v>
      </c>
      <c r="C20" t="s">
        <v>53</v>
      </c>
      <c r="D20">
        <v>0</v>
      </c>
      <c r="F20" s="10">
        <v>4262256.95</v>
      </c>
      <c r="H20" s="10">
        <v>4262256.95</v>
      </c>
      <c r="I20" t="s">
        <v>35</v>
      </c>
      <c r="J20">
        <v>0</v>
      </c>
      <c r="L20" s="1">
        <f t="shared" si="0"/>
        <v>0</v>
      </c>
      <c r="N20" s="6" t="str">
        <f>IF(ISERROR(VLOOKUP($A20,'Plano de Contas'!#REF!,8,FALSE)),"",VLOOKUP($A20,'Plano de Contas'!#REF!,8,FALSE))</f>
        <v/>
      </c>
      <c r="P20" s="6" t="str">
        <f>IF(ISERROR(VLOOKUP($A20,'Plano de Contas'!#REF!,10,FALSE)),"",VLOOKUP($A20,'Plano de Contas'!#REF!,10,FALSE))</f>
        <v/>
      </c>
    </row>
    <row r="21" spans="1:16" x14ac:dyDescent="0.25">
      <c r="A21" t="s">
        <v>54</v>
      </c>
      <c r="B21">
        <v>561</v>
      </c>
      <c r="C21" t="s">
        <v>55</v>
      </c>
      <c r="D21">
        <v>50.4</v>
      </c>
      <c r="F21">
        <v>0</v>
      </c>
      <c r="H21">
        <v>0</v>
      </c>
      <c r="J21">
        <v>50.4</v>
      </c>
      <c r="L21" s="1">
        <f t="shared" si="0"/>
        <v>50.4</v>
      </c>
      <c r="N21" s="6" t="str">
        <f>IF(ISERROR(VLOOKUP($A21,'Plano de Contas'!#REF!,8,FALSE)),"",VLOOKUP($A21,'Plano de Contas'!#REF!,8,FALSE))</f>
        <v/>
      </c>
      <c r="P21" s="6" t="str">
        <f>IF(ISERROR(VLOOKUP($A21,'Plano de Contas'!#REF!,10,FALSE)),"",VLOOKUP($A21,'Plano de Contas'!#REF!,10,FALSE))</f>
        <v/>
      </c>
    </row>
    <row r="22" spans="1:16" x14ac:dyDescent="0.25">
      <c r="A22" t="s">
        <v>56</v>
      </c>
      <c r="B22">
        <v>583</v>
      </c>
      <c r="C22" t="s">
        <v>57</v>
      </c>
      <c r="D22" s="10">
        <v>7161442.9100000001</v>
      </c>
      <c r="F22">
        <v>0</v>
      </c>
      <c r="H22" s="10">
        <v>4262256.95</v>
      </c>
      <c r="I22" t="s">
        <v>35</v>
      </c>
      <c r="J22" s="10">
        <v>2899185.96</v>
      </c>
      <c r="L22" s="1">
        <f t="shared" si="0"/>
        <v>2899185.96</v>
      </c>
      <c r="N22" s="6" t="str">
        <f>IF(ISERROR(VLOOKUP($A22,'Plano de Contas'!#REF!,8,FALSE)),"",VLOOKUP($A22,'Plano de Contas'!#REF!,8,FALSE))</f>
        <v/>
      </c>
      <c r="P22" s="6" t="str">
        <f>IF(ISERROR(VLOOKUP($A22,'Plano de Contas'!#REF!,10,FALSE)),"",VLOOKUP($A22,'Plano de Contas'!#REF!,10,FALSE))</f>
        <v/>
      </c>
    </row>
    <row r="23" spans="1:16" x14ac:dyDescent="0.25">
      <c r="A23" t="s">
        <v>58</v>
      </c>
      <c r="B23">
        <v>694</v>
      </c>
      <c r="C23" t="s">
        <v>59</v>
      </c>
      <c r="D23">
        <v>0</v>
      </c>
      <c r="F23" s="10">
        <v>10687109.17</v>
      </c>
      <c r="H23" s="10">
        <v>10687109.17</v>
      </c>
      <c r="I23" t="s">
        <v>35</v>
      </c>
      <c r="J23">
        <v>0</v>
      </c>
      <c r="L23" s="1">
        <f t="shared" si="0"/>
        <v>0</v>
      </c>
      <c r="N23" s="6" t="str">
        <f>IF(ISERROR(VLOOKUP($A23,'Plano de Contas'!#REF!,8,FALSE)),"",VLOOKUP($A23,'Plano de Contas'!#REF!,8,FALSE))</f>
        <v/>
      </c>
      <c r="P23" s="6" t="str">
        <f>IF(ISERROR(VLOOKUP($A23,'Plano de Contas'!#REF!,10,FALSE)),"",VLOOKUP($A23,'Plano de Contas'!#REF!,10,FALSE))</f>
        <v/>
      </c>
    </row>
    <row r="24" spans="1:16" x14ac:dyDescent="0.25">
      <c r="A24" t="s">
        <v>60</v>
      </c>
      <c r="B24">
        <v>699</v>
      </c>
      <c r="C24" t="s">
        <v>61</v>
      </c>
      <c r="D24" s="10">
        <v>1297077.73</v>
      </c>
      <c r="F24">
        <v>0</v>
      </c>
      <c r="H24" s="10">
        <v>1295687.45</v>
      </c>
      <c r="I24" t="s">
        <v>35</v>
      </c>
      <c r="J24" s="10">
        <v>1390.28</v>
      </c>
      <c r="L24" s="1">
        <f t="shared" si="0"/>
        <v>1390.28</v>
      </c>
      <c r="N24" s="6" t="str">
        <f>IF(ISERROR(VLOOKUP($A24,'Plano de Contas'!#REF!,8,FALSE)),"",VLOOKUP($A24,'Plano de Contas'!#REF!,8,FALSE))</f>
        <v/>
      </c>
      <c r="P24" s="6" t="str">
        <f>IF(ISERROR(VLOOKUP($A24,'Plano de Contas'!#REF!,10,FALSE)),"",VLOOKUP($A24,'Plano de Contas'!#REF!,10,FALSE))</f>
        <v/>
      </c>
    </row>
    <row r="25" spans="1:16" x14ac:dyDescent="0.25">
      <c r="A25" t="s">
        <v>62</v>
      </c>
      <c r="B25">
        <v>725</v>
      </c>
      <c r="C25" t="s">
        <v>63</v>
      </c>
      <c r="D25" s="10">
        <v>1406036.92</v>
      </c>
      <c r="F25" s="10">
        <v>5706314.1399999997</v>
      </c>
      <c r="H25" s="10">
        <v>6862617.8300000001</v>
      </c>
      <c r="I25" t="s">
        <v>35</v>
      </c>
      <c r="J25" s="10">
        <v>249733.23</v>
      </c>
      <c r="L25" s="1">
        <f t="shared" si="0"/>
        <v>249733.23</v>
      </c>
      <c r="N25" s="6" t="str">
        <f>IF(ISERROR(VLOOKUP($A25,'Plano de Contas'!#REF!,8,FALSE)),"",VLOOKUP($A25,'Plano de Contas'!#REF!,8,FALSE))</f>
        <v/>
      </c>
      <c r="P25" s="6" t="str">
        <f>IF(ISERROR(VLOOKUP($A25,'Plano de Contas'!#REF!,10,FALSE)),"",VLOOKUP($A25,'Plano de Contas'!#REF!,10,FALSE))</f>
        <v/>
      </c>
    </row>
    <row r="26" spans="1:16" x14ac:dyDescent="0.25">
      <c r="A26" t="s">
        <v>64</v>
      </c>
      <c r="B26">
        <v>727</v>
      </c>
      <c r="C26" t="s">
        <v>65</v>
      </c>
      <c r="D26">
        <v>134.1</v>
      </c>
      <c r="F26">
        <v>0</v>
      </c>
      <c r="H26">
        <v>0</v>
      </c>
      <c r="J26">
        <v>134.1</v>
      </c>
      <c r="L26" s="1">
        <f t="shared" si="0"/>
        <v>134.1</v>
      </c>
      <c r="N26" s="6" t="str">
        <f>IF(ISERROR(VLOOKUP($A26,'Plano de Contas'!#REF!,8,FALSE)),"",VLOOKUP($A26,'Plano de Contas'!#REF!,8,FALSE))</f>
        <v/>
      </c>
      <c r="P26" s="6" t="str">
        <f>IF(ISERROR(VLOOKUP($A26,'Plano de Contas'!#REF!,10,FALSE)),"",VLOOKUP($A26,'Plano de Contas'!#REF!,10,FALSE))</f>
        <v/>
      </c>
    </row>
    <row r="27" spans="1:16" x14ac:dyDescent="0.25">
      <c r="A27" t="s">
        <v>66</v>
      </c>
      <c r="B27">
        <v>728</v>
      </c>
      <c r="C27" t="s">
        <v>67</v>
      </c>
      <c r="D27" s="10">
        <v>2235989.81</v>
      </c>
      <c r="F27" s="10">
        <v>5439953.2199999997</v>
      </c>
      <c r="H27" s="10">
        <v>2235348.8199999998</v>
      </c>
      <c r="I27" t="s">
        <v>35</v>
      </c>
      <c r="J27" s="10">
        <v>5440594.21</v>
      </c>
      <c r="L27" s="1">
        <f t="shared" si="0"/>
        <v>5440594.21</v>
      </c>
      <c r="N27" s="6" t="str">
        <f>IF(ISERROR(VLOOKUP($A27,'Plano de Contas'!#REF!,8,FALSE)),"",VLOOKUP($A27,'Plano de Contas'!#REF!,8,FALSE))</f>
        <v/>
      </c>
      <c r="P27" s="6" t="str">
        <f>IF(ISERROR(VLOOKUP($A27,'Plano de Contas'!#REF!,10,FALSE)),"",VLOOKUP($A27,'Plano de Contas'!#REF!,10,FALSE))</f>
        <v/>
      </c>
    </row>
    <row r="28" spans="1:16" x14ac:dyDescent="0.25">
      <c r="A28" t="s">
        <v>68</v>
      </c>
      <c r="B28">
        <v>730</v>
      </c>
      <c r="C28" t="s">
        <v>69</v>
      </c>
      <c r="D28" s="10">
        <v>647854.69999999995</v>
      </c>
      <c r="F28" s="10">
        <v>47921869.259999998</v>
      </c>
      <c r="H28" s="10">
        <v>45444503.530000001</v>
      </c>
      <c r="I28" t="s">
        <v>35</v>
      </c>
      <c r="J28" s="10">
        <v>3125220.43</v>
      </c>
      <c r="L28" s="1">
        <f t="shared" si="0"/>
        <v>3125220.43</v>
      </c>
      <c r="N28" s="6" t="str">
        <f>IF(ISERROR(VLOOKUP($A28,'Plano de Contas'!#REF!,8,FALSE)),"",VLOOKUP($A28,'Plano de Contas'!#REF!,8,FALSE))</f>
        <v/>
      </c>
      <c r="P28" s="6" t="str">
        <f>IF(ISERROR(VLOOKUP($A28,'Plano de Contas'!#REF!,10,FALSE)),"",VLOOKUP($A28,'Plano de Contas'!#REF!,10,FALSE))</f>
        <v/>
      </c>
    </row>
    <row r="29" spans="1:16" x14ac:dyDescent="0.25">
      <c r="A29" t="s">
        <v>70</v>
      </c>
      <c r="B29">
        <v>736</v>
      </c>
      <c r="C29" t="s">
        <v>71</v>
      </c>
      <c r="D29">
        <v>0.03</v>
      </c>
      <c r="F29">
        <v>0</v>
      </c>
      <c r="H29">
        <v>0</v>
      </c>
      <c r="J29">
        <v>0.03</v>
      </c>
      <c r="L29" s="1">
        <f t="shared" si="0"/>
        <v>0.03</v>
      </c>
      <c r="N29" s="6" t="str">
        <f>IF(ISERROR(VLOOKUP($A29,'Plano de Contas'!#REF!,8,FALSE)),"",VLOOKUP($A29,'Plano de Contas'!#REF!,8,FALSE))</f>
        <v/>
      </c>
      <c r="P29" s="6" t="str">
        <f>IF(ISERROR(VLOOKUP($A29,'Plano de Contas'!#REF!,10,FALSE)),"",VLOOKUP($A29,'Plano de Contas'!#REF!,10,FALSE))</f>
        <v/>
      </c>
    </row>
    <row r="30" spans="1:16" x14ac:dyDescent="0.25">
      <c r="A30" t="s">
        <v>72</v>
      </c>
      <c r="B30">
        <v>832</v>
      </c>
      <c r="C30" t="s">
        <v>73</v>
      </c>
      <c r="D30" s="10">
        <v>2234542.83</v>
      </c>
      <c r="E30" t="s">
        <v>35</v>
      </c>
      <c r="F30" s="10">
        <v>12235348.82</v>
      </c>
      <c r="H30" s="10">
        <v>10000000</v>
      </c>
      <c r="I30" t="s">
        <v>35</v>
      </c>
      <c r="J30">
        <v>805.99</v>
      </c>
      <c r="L30" s="1">
        <f t="shared" si="0"/>
        <v>805.99</v>
      </c>
      <c r="N30" s="6" t="str">
        <f>IF(ISERROR(VLOOKUP($A30,'Plano de Contas'!#REF!,8,FALSE)),"",VLOOKUP($A30,'Plano de Contas'!#REF!,8,FALSE))</f>
        <v/>
      </c>
      <c r="P30" s="6" t="str">
        <f>IF(ISERROR(VLOOKUP($A30,'Plano de Contas'!#REF!,10,FALSE)),"",VLOOKUP($A30,'Plano de Contas'!#REF!,10,FALSE))</f>
        <v/>
      </c>
    </row>
    <row r="31" spans="1:16" x14ac:dyDescent="0.25">
      <c r="A31" t="s">
        <v>74</v>
      </c>
      <c r="B31">
        <v>900</v>
      </c>
      <c r="C31" t="s">
        <v>75</v>
      </c>
      <c r="D31" s="10">
        <v>172769.35</v>
      </c>
      <c r="F31">
        <v>0</v>
      </c>
      <c r="H31">
        <v>0</v>
      </c>
      <c r="J31" s="10">
        <v>172769.35</v>
      </c>
      <c r="L31" s="1">
        <f t="shared" si="0"/>
        <v>172769.35</v>
      </c>
      <c r="N31" s="6" t="str">
        <f>IF(ISERROR(VLOOKUP($A31,'Plano de Contas'!#REF!,8,FALSE)),"",VLOOKUP($A31,'Plano de Contas'!#REF!,8,FALSE))</f>
        <v/>
      </c>
      <c r="P31" s="6" t="str">
        <f>IF(ISERROR(VLOOKUP($A31,'Plano de Contas'!#REF!,10,FALSE)),"",VLOOKUP($A31,'Plano de Contas'!#REF!,10,FALSE))</f>
        <v/>
      </c>
    </row>
    <row r="32" spans="1:16" x14ac:dyDescent="0.25">
      <c r="A32" t="s">
        <v>76</v>
      </c>
      <c r="B32">
        <v>919</v>
      </c>
      <c r="C32" t="s">
        <v>77</v>
      </c>
      <c r="D32" s="10">
        <v>1449669.02</v>
      </c>
      <c r="F32" s="10">
        <v>6373527.2000000002</v>
      </c>
      <c r="H32" s="10">
        <v>3271853.75</v>
      </c>
      <c r="I32" t="s">
        <v>35</v>
      </c>
      <c r="J32" s="10">
        <v>4551342.47</v>
      </c>
      <c r="L32" s="1">
        <f t="shared" si="0"/>
        <v>4551342.47</v>
      </c>
      <c r="N32" s="6" t="str">
        <f>IF(ISERROR(VLOOKUP($A32,'Plano de Contas'!#REF!,8,FALSE)),"",VLOOKUP($A32,'Plano de Contas'!#REF!,8,FALSE))</f>
        <v/>
      </c>
      <c r="P32" s="6" t="str">
        <f>IF(ISERROR(VLOOKUP($A32,'Plano de Contas'!#REF!,10,FALSE)),"",VLOOKUP($A32,'Plano de Contas'!#REF!,10,FALSE))</f>
        <v/>
      </c>
    </row>
    <row r="33" spans="1:16" x14ac:dyDescent="0.25">
      <c r="A33" t="s">
        <v>78</v>
      </c>
      <c r="B33">
        <v>920</v>
      </c>
      <c r="C33" t="s">
        <v>79</v>
      </c>
      <c r="D33" s="10">
        <v>29549.68</v>
      </c>
      <c r="F33" s="10">
        <v>58910376.289999999</v>
      </c>
      <c r="H33" s="10">
        <v>57438250.340000004</v>
      </c>
      <c r="I33" t="s">
        <v>35</v>
      </c>
      <c r="J33" s="10">
        <v>1501675.63</v>
      </c>
      <c r="L33" s="1">
        <f t="shared" si="0"/>
        <v>1501675.63</v>
      </c>
      <c r="N33" s="6" t="str">
        <f>IF(ISERROR(VLOOKUP($A33,'Plano de Contas'!#REF!,8,FALSE)),"",VLOOKUP($A33,'Plano de Contas'!#REF!,8,FALSE))</f>
        <v/>
      </c>
      <c r="P33" s="6" t="str">
        <f>IF(ISERROR(VLOOKUP($A33,'Plano de Contas'!#REF!,10,FALSE)),"",VLOOKUP($A33,'Plano de Contas'!#REF!,10,FALSE))</f>
        <v/>
      </c>
    </row>
    <row r="34" spans="1:16" x14ac:dyDescent="0.25">
      <c r="A34" t="s">
        <v>80</v>
      </c>
      <c r="B34">
        <v>931</v>
      </c>
      <c r="C34" t="s">
        <v>81</v>
      </c>
      <c r="D34" s="10">
        <v>45819.95</v>
      </c>
      <c r="F34" s="10">
        <v>511489.04</v>
      </c>
      <c r="H34" s="10">
        <v>557308.99</v>
      </c>
      <c r="I34" t="s">
        <v>35</v>
      </c>
      <c r="J34">
        <v>0</v>
      </c>
      <c r="L34" s="1">
        <f t="shared" si="0"/>
        <v>0</v>
      </c>
      <c r="N34" s="6" t="str">
        <f>IF(ISERROR(VLOOKUP($A34,'Plano de Contas'!#REF!,8,FALSE)),"",VLOOKUP($A34,'Plano de Contas'!#REF!,8,FALSE))</f>
        <v/>
      </c>
      <c r="P34" s="6" t="str">
        <f>IF(ISERROR(VLOOKUP($A34,'Plano de Contas'!#REF!,10,FALSE)),"",VLOOKUP($A34,'Plano de Contas'!#REF!,10,FALSE))</f>
        <v/>
      </c>
    </row>
    <row r="35" spans="1:16" x14ac:dyDescent="0.25">
      <c r="A35" t="s">
        <v>82</v>
      </c>
      <c r="B35">
        <v>943</v>
      </c>
      <c r="C35" t="s">
        <v>83</v>
      </c>
      <c r="D35" s="10">
        <v>46699.58</v>
      </c>
      <c r="F35">
        <v>0</v>
      </c>
      <c r="H35">
        <v>0</v>
      </c>
      <c r="J35" s="10">
        <v>46699.58</v>
      </c>
      <c r="L35" s="1">
        <f t="shared" si="0"/>
        <v>46699.58</v>
      </c>
      <c r="N35" s="6" t="str">
        <f>IF(ISERROR(VLOOKUP($A35,'Plano de Contas'!#REF!,8,FALSE)),"",VLOOKUP($A35,'Plano de Contas'!#REF!,8,FALSE))</f>
        <v/>
      </c>
      <c r="P35" s="6" t="str">
        <f>IF(ISERROR(VLOOKUP($A35,'Plano de Contas'!#REF!,10,FALSE)),"",VLOOKUP($A35,'Plano de Contas'!#REF!,10,FALSE))</f>
        <v/>
      </c>
    </row>
    <row r="36" spans="1:16" x14ac:dyDescent="0.25">
      <c r="A36" t="s">
        <v>84</v>
      </c>
      <c r="B36">
        <v>944</v>
      </c>
      <c r="C36" t="s">
        <v>85</v>
      </c>
      <c r="D36" s="10">
        <v>1250</v>
      </c>
      <c r="E36" t="s">
        <v>35</v>
      </c>
      <c r="F36" s="10">
        <v>370131</v>
      </c>
      <c r="H36" s="10">
        <v>371131</v>
      </c>
      <c r="I36" t="s">
        <v>35</v>
      </c>
      <c r="J36" s="10">
        <v>2250</v>
      </c>
      <c r="K36" t="s">
        <v>35</v>
      </c>
      <c r="L36" s="1">
        <f t="shared" si="0"/>
        <v>-2250</v>
      </c>
      <c r="N36" s="6" t="str">
        <f>IF(ISERROR(VLOOKUP($A36,'Plano de Contas'!#REF!,8,FALSE)),"",VLOOKUP($A36,'Plano de Contas'!#REF!,8,FALSE))</f>
        <v/>
      </c>
      <c r="P36" s="6" t="str">
        <f>IF(ISERROR(VLOOKUP($A36,'Plano de Contas'!#REF!,10,FALSE)),"",VLOOKUP($A36,'Plano de Contas'!#REF!,10,FALSE))</f>
        <v/>
      </c>
    </row>
    <row r="37" spans="1:16" x14ac:dyDescent="0.25">
      <c r="A37" t="s">
        <v>86</v>
      </c>
      <c r="B37">
        <v>960</v>
      </c>
      <c r="C37" t="s">
        <v>87</v>
      </c>
      <c r="D37" s="10">
        <v>385000</v>
      </c>
      <c r="F37" s="10">
        <v>1948.92</v>
      </c>
      <c r="H37">
        <v>0</v>
      </c>
      <c r="J37" s="10">
        <v>386948.92</v>
      </c>
      <c r="L37" s="1">
        <f t="shared" si="0"/>
        <v>386948.92</v>
      </c>
      <c r="N37" s="6" t="str">
        <f>IF(ISERROR(VLOOKUP($A37,'Plano de Contas'!#REF!,8,FALSE)),"",VLOOKUP($A37,'Plano de Contas'!#REF!,8,FALSE))</f>
        <v/>
      </c>
      <c r="P37" s="6" t="str">
        <f>IF(ISERROR(VLOOKUP($A37,'Plano de Contas'!#REF!,10,FALSE)),"",VLOOKUP($A37,'Plano de Contas'!#REF!,10,FALSE))</f>
        <v/>
      </c>
    </row>
    <row r="38" spans="1:16" x14ac:dyDescent="0.25">
      <c r="L38" s="1">
        <f t="shared" si="0"/>
        <v>0</v>
      </c>
      <c r="N38" s="6" t="str">
        <f>IF(ISERROR(VLOOKUP($A38,'Plano de Contas'!#REF!,8,FALSE)),"",VLOOKUP($A38,'Plano de Contas'!#REF!,8,FALSE))</f>
        <v/>
      </c>
      <c r="P38" s="6" t="str">
        <f>IF(ISERROR(VLOOKUP($A38,'Plano de Contas'!#REF!,10,FALSE)),"",VLOOKUP($A38,'Plano de Contas'!#REF!,10,FALSE))</f>
        <v/>
      </c>
    </row>
    <row r="39" spans="1:16" x14ac:dyDescent="0.25">
      <c r="A39" t="s">
        <v>88</v>
      </c>
      <c r="B39">
        <v>17</v>
      </c>
      <c r="C39" t="s">
        <v>89</v>
      </c>
      <c r="D39" s="10">
        <v>40427286.780000001</v>
      </c>
      <c r="F39" s="10">
        <v>12353347.93</v>
      </c>
      <c r="H39" s="10">
        <v>14477641.470000001</v>
      </c>
      <c r="I39" t="s">
        <v>35</v>
      </c>
      <c r="J39" s="10">
        <v>38302993.240000002</v>
      </c>
      <c r="L39" s="1">
        <f t="shared" si="0"/>
        <v>38302993.240000002</v>
      </c>
      <c r="N39" s="6" t="str">
        <f>IF(ISERROR(VLOOKUP($A39,'Plano de Contas'!#REF!,8,FALSE)),"",VLOOKUP($A39,'Plano de Contas'!#REF!,8,FALSE))</f>
        <v/>
      </c>
      <c r="P39" s="6" t="str">
        <f>IF(ISERROR(VLOOKUP($A39,'Plano de Contas'!#REF!,10,FALSE)),"",VLOOKUP($A39,'Plano de Contas'!#REF!,10,FALSE))</f>
        <v/>
      </c>
    </row>
    <row r="40" spans="1:16" x14ac:dyDescent="0.25">
      <c r="A40" t="s">
        <v>90</v>
      </c>
      <c r="B40">
        <v>731</v>
      </c>
      <c r="C40" t="s">
        <v>91</v>
      </c>
      <c r="D40" s="10">
        <v>2121326.46</v>
      </c>
      <c r="F40" s="10">
        <v>8413.07</v>
      </c>
      <c r="H40" s="10">
        <v>957000</v>
      </c>
      <c r="I40" t="s">
        <v>35</v>
      </c>
      <c r="J40" s="10">
        <v>1172739.53</v>
      </c>
      <c r="L40" s="1">
        <f t="shared" si="0"/>
        <v>1172739.53</v>
      </c>
      <c r="N40" s="6" t="str">
        <f>IF(ISERROR(VLOOKUP($A40,'Plano de Contas'!#REF!,8,FALSE)),"",VLOOKUP($A40,'Plano de Contas'!#REF!,8,FALSE))</f>
        <v/>
      </c>
      <c r="P40" s="6" t="str">
        <f>IF(ISERROR(VLOOKUP($A40,'Plano de Contas'!#REF!,10,FALSE)),"",VLOOKUP($A40,'Plano de Contas'!#REF!,10,FALSE))</f>
        <v/>
      </c>
    </row>
    <row r="41" spans="1:16" x14ac:dyDescent="0.25">
      <c r="A41" t="s">
        <v>92</v>
      </c>
      <c r="B41">
        <v>738</v>
      </c>
      <c r="C41" t="s">
        <v>93</v>
      </c>
      <c r="D41" s="10">
        <v>39744.959999999999</v>
      </c>
      <c r="F41">
        <v>311.3</v>
      </c>
      <c r="H41">
        <v>70.040000000000006</v>
      </c>
      <c r="I41" t="s">
        <v>35</v>
      </c>
      <c r="J41" s="10">
        <v>39986.22</v>
      </c>
      <c r="L41" s="1">
        <f t="shared" si="0"/>
        <v>39986.22</v>
      </c>
      <c r="N41" s="6" t="str">
        <f>IF(ISERROR(VLOOKUP($A41,'Plano de Contas'!#REF!,8,FALSE)),"",VLOOKUP($A41,'Plano de Contas'!#REF!,8,FALSE))</f>
        <v/>
      </c>
      <c r="P41" s="6" t="str">
        <f>IF(ISERROR(VLOOKUP($A41,'Plano de Contas'!#REF!,10,FALSE)),"",VLOOKUP($A41,'Plano de Contas'!#REF!,10,FALSE))</f>
        <v/>
      </c>
    </row>
    <row r="42" spans="1:16" x14ac:dyDescent="0.25">
      <c r="A42" t="s">
        <v>94</v>
      </c>
      <c r="B42">
        <v>740</v>
      </c>
      <c r="C42" t="s">
        <v>95</v>
      </c>
      <c r="D42" s="10">
        <v>2403.27</v>
      </c>
      <c r="F42" s="10">
        <v>1456422.18</v>
      </c>
      <c r="H42" s="10">
        <v>1757.06</v>
      </c>
      <c r="I42" t="s">
        <v>35</v>
      </c>
      <c r="J42" s="10">
        <v>1457068.39</v>
      </c>
      <c r="L42" s="1">
        <f t="shared" si="0"/>
        <v>1457068.39</v>
      </c>
      <c r="N42" s="6" t="str">
        <f>IF(ISERROR(VLOOKUP($A42,'Plano de Contas'!#REF!,8,FALSE)),"",VLOOKUP($A42,'Plano de Contas'!#REF!,8,FALSE))</f>
        <v/>
      </c>
      <c r="P42" s="6" t="str">
        <f>IF(ISERROR(VLOOKUP($A42,'Plano de Contas'!#REF!,10,FALSE)),"",VLOOKUP($A42,'Plano de Contas'!#REF!,10,FALSE))</f>
        <v/>
      </c>
    </row>
    <row r="43" spans="1:16" x14ac:dyDescent="0.25">
      <c r="A43" t="s">
        <v>96</v>
      </c>
      <c r="B43">
        <v>748</v>
      </c>
      <c r="C43" t="s">
        <v>97</v>
      </c>
      <c r="D43" s="10">
        <v>1451129.85</v>
      </c>
      <c r="F43" s="10">
        <v>512343.47</v>
      </c>
      <c r="H43" s="10">
        <v>1465740.92</v>
      </c>
      <c r="I43" t="s">
        <v>35</v>
      </c>
      <c r="J43" s="10">
        <v>497732.4</v>
      </c>
      <c r="L43" s="1">
        <f t="shared" si="0"/>
        <v>497732.4</v>
      </c>
      <c r="N43" s="6" t="str">
        <f>IF(ISERROR(VLOOKUP($A43,'Plano de Contas'!#REF!,8,FALSE)),"",VLOOKUP($A43,'Plano de Contas'!#REF!,8,FALSE))</f>
        <v/>
      </c>
      <c r="P43" s="6" t="str">
        <f>IF(ISERROR(VLOOKUP($A43,'Plano de Contas'!#REF!,10,FALSE)),"",VLOOKUP($A43,'Plano de Contas'!#REF!,10,FALSE))</f>
        <v/>
      </c>
    </row>
    <row r="44" spans="1:16" x14ac:dyDescent="0.25">
      <c r="A44" t="s">
        <v>98</v>
      </c>
      <c r="B44">
        <v>768</v>
      </c>
      <c r="C44" t="s">
        <v>99</v>
      </c>
      <c r="D44" s="10">
        <v>3156.04</v>
      </c>
      <c r="F44">
        <v>19.190000000000001</v>
      </c>
      <c r="H44">
        <v>2.27</v>
      </c>
      <c r="I44" t="s">
        <v>35</v>
      </c>
      <c r="J44" s="10">
        <v>3172.96</v>
      </c>
      <c r="L44" s="1">
        <f t="shared" si="0"/>
        <v>3172.96</v>
      </c>
      <c r="N44" s="6" t="str">
        <f>IF(ISERROR(VLOOKUP($A44,'Plano de Contas'!#REF!,8,FALSE)),"",VLOOKUP($A44,'Plano de Contas'!#REF!,8,FALSE))</f>
        <v/>
      </c>
      <c r="P44" s="6" t="str">
        <f>IF(ISERROR(VLOOKUP($A44,'Plano de Contas'!#REF!,10,FALSE)),"",VLOOKUP($A44,'Plano de Contas'!#REF!,10,FALSE))</f>
        <v/>
      </c>
    </row>
    <row r="45" spans="1:16" x14ac:dyDescent="0.25">
      <c r="A45" t="s">
        <v>100</v>
      </c>
      <c r="B45">
        <v>779</v>
      </c>
      <c r="C45" t="s">
        <v>101</v>
      </c>
      <c r="D45" s="10">
        <v>36874.629999999997</v>
      </c>
      <c r="F45">
        <v>288.82</v>
      </c>
      <c r="H45">
        <v>64.98</v>
      </c>
      <c r="I45" t="s">
        <v>35</v>
      </c>
      <c r="J45" s="10">
        <v>37098.47</v>
      </c>
      <c r="L45" s="1">
        <f t="shared" si="0"/>
        <v>37098.47</v>
      </c>
      <c r="N45" s="6" t="str">
        <f>IF(ISERROR(VLOOKUP($A45,'Plano de Contas'!#REF!,8,FALSE)),"",VLOOKUP($A45,'Plano de Contas'!#REF!,8,FALSE))</f>
        <v/>
      </c>
      <c r="P45" s="6" t="str">
        <f>IF(ISERROR(VLOOKUP($A45,'Plano de Contas'!#REF!,10,FALSE)),"",VLOOKUP($A45,'Plano de Contas'!#REF!,10,FALSE))</f>
        <v/>
      </c>
    </row>
    <row r="46" spans="1:16" x14ac:dyDescent="0.25">
      <c r="A46" t="s">
        <v>102</v>
      </c>
      <c r="B46">
        <v>916</v>
      </c>
      <c r="C46" t="s">
        <v>103</v>
      </c>
      <c r="D46" s="10">
        <v>66641.45</v>
      </c>
      <c r="F46">
        <v>524.53</v>
      </c>
      <c r="H46">
        <v>104.91</v>
      </c>
      <c r="I46" t="s">
        <v>35</v>
      </c>
      <c r="J46" s="10">
        <v>67061.070000000007</v>
      </c>
      <c r="L46" s="48">
        <f t="shared" si="0"/>
        <v>67061.070000000007</v>
      </c>
      <c r="N46" s="6" t="str">
        <f>IF(ISERROR(VLOOKUP($A46,'Plano de Contas'!#REF!,8,FALSE)),"",VLOOKUP($A46,'Plano de Contas'!#REF!,8,FALSE))</f>
        <v/>
      </c>
      <c r="P46" s="6" t="str">
        <f>IF(ISERROR(VLOOKUP($A46,'Plano de Contas'!#REF!,10,FALSE)),"",VLOOKUP($A46,'Plano de Contas'!#REF!,10,FALSE))</f>
        <v/>
      </c>
    </row>
    <row r="47" spans="1:16" x14ac:dyDescent="0.25">
      <c r="A47" t="s">
        <v>104</v>
      </c>
      <c r="B47">
        <v>917</v>
      </c>
      <c r="C47" t="s">
        <v>105</v>
      </c>
      <c r="D47" s="10">
        <v>11144124.51</v>
      </c>
      <c r="F47" s="10">
        <v>10182133.77</v>
      </c>
      <c r="H47" s="10">
        <v>11326145.869999999</v>
      </c>
      <c r="I47" t="s">
        <v>35</v>
      </c>
      <c r="J47" s="10">
        <v>10000112.41</v>
      </c>
      <c r="L47" s="48">
        <f t="shared" si="0"/>
        <v>10000112.41</v>
      </c>
      <c r="N47" s="6" t="str">
        <f>IF(ISERROR(VLOOKUP($A47,'Plano de Contas'!#REF!,8,FALSE)),"",VLOOKUP($A47,'Plano de Contas'!#REF!,8,FALSE))</f>
        <v/>
      </c>
      <c r="P47" s="6" t="str">
        <f>IF(ISERROR(VLOOKUP($A47,'Plano de Contas'!#REF!,10,FALSE)),"",VLOOKUP($A47,'Plano de Contas'!#REF!,10,FALSE))</f>
        <v/>
      </c>
    </row>
    <row r="48" spans="1:16" x14ac:dyDescent="0.25">
      <c r="A48" t="s">
        <v>106</v>
      </c>
      <c r="B48">
        <v>946</v>
      </c>
      <c r="C48" t="s">
        <v>107</v>
      </c>
      <c r="D48" s="10">
        <v>22546112.629999999</v>
      </c>
      <c r="F48" s="10">
        <v>172017.09</v>
      </c>
      <c r="H48" s="10">
        <v>370686.57</v>
      </c>
      <c r="I48" t="s">
        <v>35</v>
      </c>
      <c r="J48" s="10">
        <v>22347443.149999999</v>
      </c>
      <c r="L48" s="1">
        <f t="shared" si="0"/>
        <v>22347443.149999999</v>
      </c>
      <c r="N48" s="6" t="str">
        <f>IF(ISERROR(VLOOKUP($A48,'Plano de Contas'!#REF!,8,FALSE)),"",VLOOKUP($A48,'Plano de Contas'!#REF!,8,FALSE))</f>
        <v/>
      </c>
      <c r="P48" s="6" t="str">
        <f>IF(ISERROR(VLOOKUP($A48,'Plano de Contas'!#REF!,10,FALSE)),"",VLOOKUP($A48,'Plano de Contas'!#REF!,10,FALSE))</f>
        <v/>
      </c>
    </row>
    <row r="49" spans="1:16" x14ac:dyDescent="0.25">
      <c r="A49" t="s">
        <v>108</v>
      </c>
      <c r="B49">
        <v>959</v>
      </c>
      <c r="C49" t="s">
        <v>109</v>
      </c>
      <c r="D49" s="10">
        <v>3015772.98</v>
      </c>
      <c r="F49" s="10">
        <v>20874.509999999998</v>
      </c>
      <c r="H49" s="10">
        <v>356068.85</v>
      </c>
      <c r="I49" t="s">
        <v>35</v>
      </c>
      <c r="J49" s="10">
        <v>2680578.64</v>
      </c>
      <c r="L49" s="1">
        <f t="shared" si="0"/>
        <v>2680578.64</v>
      </c>
      <c r="N49" s="6" t="str">
        <f>IF(ISERROR(VLOOKUP($A49,'Plano de Contas'!#REF!,8,FALSE)),"",VLOOKUP($A49,'Plano de Contas'!#REF!,8,FALSE))</f>
        <v/>
      </c>
      <c r="P49" s="6" t="str">
        <f>IF(ISERROR(VLOOKUP($A49,'Plano de Contas'!#REF!,10,FALSE)),"",VLOOKUP($A49,'Plano de Contas'!#REF!,10,FALSE))</f>
        <v/>
      </c>
    </row>
    <row r="50" spans="1:16" x14ac:dyDescent="0.25">
      <c r="L50" s="48">
        <f t="shared" si="0"/>
        <v>0</v>
      </c>
      <c r="N50" s="6" t="str">
        <f>IF(ISERROR(VLOOKUP($A50,'Plano de Contas'!#REF!,8,FALSE)),"",VLOOKUP($A50,'Plano de Contas'!#REF!,8,FALSE))</f>
        <v/>
      </c>
      <c r="P50" s="6" t="str">
        <f>IF(ISERROR(VLOOKUP($A50,'Plano de Contas'!#REF!,10,FALSE)),"",VLOOKUP($A50,'Plano de Contas'!#REF!,10,FALSE))</f>
        <v/>
      </c>
    </row>
    <row r="51" spans="1:16" x14ac:dyDescent="0.25">
      <c r="A51" t="s">
        <v>110</v>
      </c>
      <c r="B51">
        <v>28</v>
      </c>
      <c r="C51" t="s">
        <v>111</v>
      </c>
      <c r="D51" s="10">
        <v>41063443.439999998</v>
      </c>
      <c r="F51" s="10">
        <v>19124446.690000001</v>
      </c>
      <c r="H51" s="10">
        <v>11172512.960000001</v>
      </c>
      <c r="I51" t="s">
        <v>35</v>
      </c>
      <c r="J51" s="10">
        <v>49015377.170000002</v>
      </c>
      <c r="L51" s="1">
        <f t="shared" si="0"/>
        <v>49015377.170000002</v>
      </c>
      <c r="N51" s="6" t="str">
        <f>IF(ISERROR(VLOOKUP($A51,'Plano de Contas'!#REF!,8,FALSE)),"",VLOOKUP($A51,'Plano de Contas'!#REF!,8,FALSE))</f>
        <v/>
      </c>
      <c r="P51" s="6" t="str">
        <f>IF(ISERROR(VLOOKUP($A51,'Plano de Contas'!#REF!,10,FALSE)),"",VLOOKUP($A51,'Plano de Contas'!#REF!,10,FALSE))</f>
        <v/>
      </c>
    </row>
    <row r="52" spans="1:16" x14ac:dyDescent="0.25">
      <c r="L52" s="1">
        <f t="shared" si="0"/>
        <v>0</v>
      </c>
      <c r="N52" s="6" t="str">
        <f>IF(ISERROR(VLOOKUP($A52,'Plano de Contas'!#REF!,8,FALSE)),"",VLOOKUP($A52,'Plano de Contas'!#REF!,8,FALSE))</f>
        <v/>
      </c>
      <c r="P52" s="6" t="str">
        <f>IF(ISERROR(VLOOKUP($A52,'Plano de Contas'!#REF!,10,FALSE)),"",VLOOKUP($A52,'Plano de Contas'!#REF!,10,FALSE))</f>
        <v/>
      </c>
    </row>
    <row r="53" spans="1:16" x14ac:dyDescent="0.25">
      <c r="A53" t="s">
        <v>112</v>
      </c>
      <c r="B53">
        <v>29</v>
      </c>
      <c r="C53" t="s">
        <v>113</v>
      </c>
      <c r="D53" s="10">
        <v>5112435.3099999996</v>
      </c>
      <c r="F53" s="10">
        <v>9267113.8399999999</v>
      </c>
      <c r="H53" s="10">
        <v>8724496.2400000002</v>
      </c>
      <c r="I53" t="s">
        <v>35</v>
      </c>
      <c r="J53" s="10">
        <v>5655052.9100000001</v>
      </c>
      <c r="L53" s="48">
        <f t="shared" si="0"/>
        <v>5655052.9100000001</v>
      </c>
      <c r="N53" s="6" t="str">
        <f>IF(ISERROR(VLOOKUP($A53,'Plano de Contas'!#REF!,8,FALSE)),"",VLOOKUP($A53,'Plano de Contas'!#REF!,8,FALSE))</f>
        <v/>
      </c>
      <c r="P53" s="6" t="str">
        <f>IF(ISERROR(VLOOKUP($A53,'Plano de Contas'!#REF!,10,FALSE)),"",VLOOKUP($A53,'Plano de Contas'!#REF!,10,FALSE))</f>
        <v/>
      </c>
    </row>
    <row r="54" spans="1:16" x14ac:dyDescent="0.25">
      <c r="A54" t="s">
        <v>114</v>
      </c>
      <c r="B54">
        <v>30</v>
      </c>
      <c r="C54" t="s">
        <v>115</v>
      </c>
      <c r="D54" s="10">
        <v>7280540.96</v>
      </c>
      <c r="F54" s="10">
        <v>9267113.8399999999</v>
      </c>
      <c r="H54" s="10">
        <v>8724496.2400000002</v>
      </c>
      <c r="I54" t="s">
        <v>35</v>
      </c>
      <c r="J54" s="10">
        <v>7823158.5599999996</v>
      </c>
      <c r="L54" s="48">
        <f t="shared" si="0"/>
        <v>7823158.5599999996</v>
      </c>
      <c r="N54" s="6" t="str">
        <f>IF(ISERROR(VLOOKUP($A54,'Plano de Contas'!#REF!,8,FALSE)),"",VLOOKUP($A54,'Plano de Contas'!#REF!,8,FALSE))</f>
        <v/>
      </c>
      <c r="P54" s="6" t="str">
        <f>IF(ISERROR(VLOOKUP($A54,'Plano de Contas'!#REF!,10,FALSE)),"",VLOOKUP($A54,'Plano de Contas'!#REF!,10,FALSE))</f>
        <v/>
      </c>
    </row>
    <row r="55" spans="1:16" x14ac:dyDescent="0.25">
      <c r="A55" t="s">
        <v>116</v>
      </c>
      <c r="B55">
        <v>31</v>
      </c>
      <c r="C55" t="s">
        <v>117</v>
      </c>
      <c r="D55" s="10">
        <v>-2168105.65</v>
      </c>
      <c r="F55">
        <v>0</v>
      </c>
      <c r="H55">
        <v>0</v>
      </c>
      <c r="J55" s="10">
        <v>-2168105.65</v>
      </c>
      <c r="L55" s="48">
        <f t="shared" si="0"/>
        <v>-2168105.65</v>
      </c>
      <c r="N55" s="6" t="str">
        <f>IF(ISERROR(VLOOKUP($A55,'Plano de Contas'!#REF!,8,FALSE)),"",VLOOKUP($A55,'Plano de Contas'!#REF!,8,FALSE))</f>
        <v/>
      </c>
      <c r="P55" s="6" t="str">
        <f>IF(ISERROR(VLOOKUP($A55,'Plano de Contas'!#REF!,10,FALSE)),"",VLOOKUP($A55,'Plano de Contas'!#REF!,10,FALSE))</f>
        <v/>
      </c>
    </row>
    <row r="56" spans="1:16" x14ac:dyDescent="0.25">
      <c r="L56" s="48">
        <f t="shared" si="0"/>
        <v>0</v>
      </c>
      <c r="N56" s="6" t="str">
        <f>IF(ISERROR(VLOOKUP($A56,'Plano de Contas'!#REF!,8,FALSE)),"",VLOOKUP($A56,'Plano de Contas'!#REF!,8,FALSE))</f>
        <v/>
      </c>
      <c r="P56" s="6" t="str">
        <f>IF(ISERROR(VLOOKUP($A56,'Plano de Contas'!#REF!,10,FALSE)),"",VLOOKUP($A56,'Plano de Contas'!#REF!,10,FALSE))</f>
        <v/>
      </c>
    </row>
    <row r="57" spans="1:16" x14ac:dyDescent="0.25">
      <c r="A57" t="s">
        <v>118</v>
      </c>
      <c r="B57">
        <v>32</v>
      </c>
      <c r="C57" t="s">
        <v>119</v>
      </c>
      <c r="D57" s="10">
        <v>42535.76</v>
      </c>
      <c r="F57">
        <v>0</v>
      </c>
      <c r="H57">
        <v>460</v>
      </c>
      <c r="I57" t="s">
        <v>35</v>
      </c>
      <c r="J57" s="10">
        <v>42075.76</v>
      </c>
      <c r="L57" s="48">
        <f t="shared" si="0"/>
        <v>42075.76</v>
      </c>
      <c r="N57" s="6" t="str">
        <f>IF(ISERROR(VLOOKUP($A57,'Plano de Contas'!#REF!,8,FALSE)),"",VLOOKUP($A57,'Plano de Contas'!#REF!,8,FALSE))</f>
        <v/>
      </c>
      <c r="P57" s="6" t="str">
        <f>IF(ISERROR(VLOOKUP($A57,'Plano de Contas'!#REF!,10,FALSE)),"",VLOOKUP($A57,'Plano de Contas'!#REF!,10,FALSE))</f>
        <v/>
      </c>
    </row>
    <row r="58" spans="1:16" x14ac:dyDescent="0.25">
      <c r="A58" t="s">
        <v>120</v>
      </c>
      <c r="B58">
        <v>33</v>
      </c>
      <c r="C58" t="s">
        <v>121</v>
      </c>
      <c r="D58" s="10">
        <v>42535.76</v>
      </c>
      <c r="F58">
        <v>0</v>
      </c>
      <c r="H58">
        <v>460</v>
      </c>
      <c r="I58" t="s">
        <v>35</v>
      </c>
      <c r="J58" s="10">
        <v>42075.76</v>
      </c>
      <c r="L58" s="1">
        <f t="shared" si="0"/>
        <v>42075.76</v>
      </c>
      <c r="N58" s="6" t="str">
        <f>IF(ISERROR(VLOOKUP($A58,'Plano de Contas'!#REF!,8,FALSE)),"",VLOOKUP($A58,'Plano de Contas'!#REF!,8,FALSE))</f>
        <v/>
      </c>
      <c r="P58" s="6" t="str">
        <f>IF(ISERROR(VLOOKUP($A58,'Plano de Contas'!#REF!,10,FALSE)),"",VLOOKUP($A58,'Plano de Contas'!#REF!,10,FALSE))</f>
        <v/>
      </c>
    </row>
    <row r="59" spans="1:16" x14ac:dyDescent="0.25">
      <c r="L59" s="1">
        <f t="shared" si="0"/>
        <v>0</v>
      </c>
      <c r="N59" s="6" t="str">
        <f>IF(ISERROR(VLOOKUP($A59,'Plano de Contas'!#REF!,8,FALSE)),"",VLOOKUP($A59,'Plano de Contas'!#REF!,8,FALSE))</f>
        <v/>
      </c>
      <c r="P59" s="6" t="str">
        <f>IF(ISERROR(VLOOKUP($A59,'Plano de Contas'!#REF!,10,FALSE)),"",VLOOKUP($A59,'Plano de Contas'!#REF!,10,FALSE))</f>
        <v/>
      </c>
    </row>
    <row r="60" spans="1:16" x14ac:dyDescent="0.25">
      <c r="A60" t="s">
        <v>122</v>
      </c>
      <c r="B60">
        <v>34</v>
      </c>
      <c r="C60" t="s">
        <v>123</v>
      </c>
      <c r="D60" s="10">
        <v>330757.43</v>
      </c>
      <c r="F60" s="10">
        <v>284416.21000000002</v>
      </c>
      <c r="H60" s="10">
        <v>137796.04999999999</v>
      </c>
      <c r="I60" t="s">
        <v>35</v>
      </c>
      <c r="J60" s="10">
        <v>477377.59</v>
      </c>
      <c r="L60" s="49">
        <f t="shared" si="0"/>
        <v>477377.59</v>
      </c>
      <c r="N60" s="6" t="str">
        <f>IF(ISERROR(VLOOKUP($A60,'Plano de Contas'!#REF!,8,FALSE)),"",VLOOKUP($A60,'Plano de Contas'!#REF!,8,FALSE))</f>
        <v/>
      </c>
      <c r="P60" s="6" t="str">
        <f>IF(ISERROR(VLOOKUP($A60,'Plano de Contas'!#REF!,10,FALSE)),"",VLOOKUP($A60,'Plano de Contas'!#REF!,10,FALSE))</f>
        <v/>
      </c>
    </row>
    <row r="61" spans="1:16" x14ac:dyDescent="0.25">
      <c r="A61" t="s">
        <v>124</v>
      </c>
      <c r="B61">
        <v>35</v>
      </c>
      <c r="C61" t="s">
        <v>125</v>
      </c>
      <c r="D61" s="10">
        <v>225300.32</v>
      </c>
      <c r="F61" s="10">
        <v>77714.02</v>
      </c>
      <c r="H61" s="10">
        <v>27983.15</v>
      </c>
      <c r="I61" t="s">
        <v>35</v>
      </c>
      <c r="J61" s="10">
        <v>275031.19</v>
      </c>
      <c r="L61" s="49">
        <f t="shared" si="0"/>
        <v>275031.19</v>
      </c>
      <c r="N61" s="6" t="str">
        <f>IF(ISERROR(VLOOKUP($A61,'Plano de Contas'!#REF!,8,FALSE)),"",VLOOKUP($A61,'Plano de Contas'!#REF!,8,FALSE))</f>
        <v/>
      </c>
      <c r="P61" s="6" t="str">
        <f>IF(ISERROR(VLOOKUP($A61,'Plano de Contas'!#REF!,10,FALSE)),"",VLOOKUP($A61,'Plano de Contas'!#REF!,10,FALSE))</f>
        <v/>
      </c>
    </row>
    <row r="62" spans="1:16" x14ac:dyDescent="0.25">
      <c r="A62" t="s">
        <v>126</v>
      </c>
      <c r="B62">
        <v>36</v>
      </c>
      <c r="C62" t="s">
        <v>127</v>
      </c>
      <c r="D62" s="10">
        <v>66499.8</v>
      </c>
      <c r="F62" s="10">
        <v>201588.01</v>
      </c>
      <c r="H62" s="10">
        <v>-87501.93</v>
      </c>
      <c r="J62" s="10">
        <v>180585.88</v>
      </c>
      <c r="L62" s="49">
        <f t="shared" si="0"/>
        <v>180585.88</v>
      </c>
      <c r="N62" s="6" t="str">
        <f>IF(ISERROR(VLOOKUP($A62,'Plano de Contas'!#REF!,8,FALSE)),"",VLOOKUP($A62,'Plano de Contas'!#REF!,8,FALSE))</f>
        <v/>
      </c>
      <c r="P62" s="6" t="str">
        <f>IF(ISERROR(VLOOKUP($A62,'Plano de Contas'!#REF!,10,FALSE)),"",VLOOKUP($A62,'Plano de Contas'!#REF!,10,FALSE))</f>
        <v/>
      </c>
    </row>
    <row r="63" spans="1:16" x14ac:dyDescent="0.25">
      <c r="A63" t="s">
        <v>128</v>
      </c>
      <c r="B63">
        <v>38</v>
      </c>
      <c r="C63" t="s">
        <v>129</v>
      </c>
      <c r="D63" s="10">
        <v>28780</v>
      </c>
      <c r="F63">
        <v>0</v>
      </c>
      <c r="H63" s="10">
        <v>22300</v>
      </c>
      <c r="I63" t="s">
        <v>35</v>
      </c>
      <c r="J63" s="10">
        <v>6480</v>
      </c>
      <c r="L63" s="49">
        <f t="shared" si="0"/>
        <v>6480</v>
      </c>
      <c r="N63" s="6" t="str">
        <f>IF(ISERROR(VLOOKUP($A63,'Plano de Contas'!#REF!,8,FALSE)),"",VLOOKUP($A63,'Plano de Contas'!#REF!,8,FALSE))</f>
        <v/>
      </c>
      <c r="P63" s="6" t="str">
        <f>IF(ISERROR(VLOOKUP($A63,'Plano de Contas'!#REF!,10,FALSE)),"",VLOOKUP($A63,'Plano de Contas'!#REF!,10,FALSE))</f>
        <v/>
      </c>
    </row>
    <row r="64" spans="1:16" x14ac:dyDescent="0.25">
      <c r="A64" t="s">
        <v>130</v>
      </c>
      <c r="B64">
        <v>39</v>
      </c>
      <c r="C64" t="s">
        <v>131</v>
      </c>
      <c r="D64">
        <v>294.22000000000003</v>
      </c>
      <c r="F64">
        <v>0</v>
      </c>
      <c r="H64">
        <v>0</v>
      </c>
      <c r="J64">
        <v>294.22000000000003</v>
      </c>
      <c r="L64" s="49">
        <f t="shared" si="0"/>
        <v>294.22000000000003</v>
      </c>
      <c r="N64" s="6" t="str">
        <f>IF(ISERROR(VLOOKUP($A64,'Plano de Contas'!#REF!,8,FALSE)),"",VLOOKUP($A64,'Plano de Contas'!#REF!,8,FALSE))</f>
        <v/>
      </c>
      <c r="P64" s="6" t="str">
        <f>IF(ISERROR(VLOOKUP($A64,'Plano de Contas'!#REF!,10,FALSE)),"",VLOOKUP($A64,'Plano de Contas'!#REF!,10,FALSE))</f>
        <v/>
      </c>
    </row>
    <row r="65" spans="1:16" x14ac:dyDescent="0.25">
      <c r="A65" t="s">
        <v>132</v>
      </c>
      <c r="B65">
        <v>314</v>
      </c>
      <c r="C65" t="s">
        <v>133</v>
      </c>
      <c r="D65" s="10">
        <v>9883.09</v>
      </c>
      <c r="F65" s="10">
        <v>5114.18</v>
      </c>
      <c r="H65">
        <v>10.97</v>
      </c>
      <c r="I65" t="s">
        <v>35</v>
      </c>
      <c r="J65" s="10">
        <v>14986.3</v>
      </c>
      <c r="L65" s="48">
        <f t="shared" si="0"/>
        <v>14986.3</v>
      </c>
      <c r="N65" s="6" t="str">
        <f>IF(ISERROR(VLOOKUP($A65,'Plano de Contas'!#REF!,8,FALSE)),"",VLOOKUP($A65,'Plano de Contas'!#REF!,8,FALSE))</f>
        <v/>
      </c>
      <c r="P65" s="6" t="str">
        <f>IF(ISERROR(VLOOKUP($A65,'Plano de Contas'!#REF!,10,FALSE)),"",VLOOKUP($A65,'Plano de Contas'!#REF!,10,FALSE))</f>
        <v/>
      </c>
    </row>
    <row r="66" spans="1:16" x14ac:dyDescent="0.25">
      <c r="L66" s="49">
        <f t="shared" si="0"/>
        <v>0</v>
      </c>
      <c r="N66" s="6" t="str">
        <f>IF(ISERROR(VLOOKUP($A66,'Plano de Contas'!#REF!,8,FALSE)),"",VLOOKUP($A66,'Plano de Contas'!#REF!,8,FALSE))</f>
        <v/>
      </c>
      <c r="P66" s="6" t="str">
        <f>IF(ISERROR(VLOOKUP($A66,'Plano de Contas'!#REF!,10,FALSE)),"",VLOOKUP($A66,'Plano de Contas'!#REF!,10,FALSE))</f>
        <v/>
      </c>
    </row>
    <row r="67" spans="1:16" x14ac:dyDescent="0.25">
      <c r="A67" t="s">
        <v>134</v>
      </c>
      <c r="B67">
        <v>40</v>
      </c>
      <c r="C67" t="s">
        <v>135</v>
      </c>
      <c r="D67" s="10">
        <v>3577415.75</v>
      </c>
      <c r="F67" s="10">
        <v>607198.93000000005</v>
      </c>
      <c r="H67" s="10">
        <v>61677.21</v>
      </c>
      <c r="I67" t="s">
        <v>35</v>
      </c>
      <c r="J67" s="10">
        <v>4122937.47</v>
      </c>
      <c r="L67" s="49">
        <f t="shared" si="0"/>
        <v>4122937.47</v>
      </c>
      <c r="N67" s="6" t="str">
        <f>IF(ISERROR(VLOOKUP($A67,'Plano de Contas'!#REF!,8,FALSE)),"",VLOOKUP($A67,'Plano de Contas'!#REF!,8,FALSE))</f>
        <v/>
      </c>
      <c r="P67" s="6" t="str">
        <f>IF(ISERROR(VLOOKUP($A67,'Plano de Contas'!#REF!,10,FALSE)),"",VLOOKUP($A67,'Plano de Contas'!#REF!,10,FALSE))</f>
        <v/>
      </c>
    </row>
    <row r="68" spans="1:16" x14ac:dyDescent="0.25">
      <c r="A68" t="s">
        <v>136</v>
      </c>
      <c r="B68">
        <v>41</v>
      </c>
      <c r="C68" t="s">
        <v>137</v>
      </c>
      <c r="D68" s="10">
        <v>440421.02</v>
      </c>
      <c r="F68" s="10">
        <v>90230.28</v>
      </c>
      <c r="H68">
        <v>0</v>
      </c>
      <c r="J68" s="10">
        <v>530651.30000000005</v>
      </c>
      <c r="L68" s="49">
        <f t="shared" si="0"/>
        <v>530651.30000000005</v>
      </c>
      <c r="N68" s="6" t="str">
        <f>IF(ISERROR(VLOOKUP($A68,'Plano de Contas'!#REF!,8,FALSE)),"",VLOOKUP($A68,'Plano de Contas'!#REF!,8,FALSE))</f>
        <v/>
      </c>
      <c r="P68" s="6" t="str">
        <f>IF(ISERROR(VLOOKUP($A68,'Plano de Contas'!#REF!,10,FALSE)),"",VLOOKUP($A68,'Plano de Contas'!#REF!,10,FALSE))</f>
        <v/>
      </c>
    </row>
    <row r="69" spans="1:16" x14ac:dyDescent="0.25">
      <c r="A69" t="s">
        <v>138</v>
      </c>
      <c r="B69">
        <v>43</v>
      </c>
      <c r="C69" t="s">
        <v>139</v>
      </c>
      <c r="D69" s="10">
        <v>168665.64</v>
      </c>
      <c r="F69">
        <v>0</v>
      </c>
      <c r="H69">
        <v>0</v>
      </c>
      <c r="J69" s="10">
        <v>168665.64</v>
      </c>
      <c r="L69" s="49">
        <f t="shared" si="0"/>
        <v>168665.64</v>
      </c>
      <c r="N69" s="6" t="str">
        <f>IF(ISERROR(VLOOKUP($A69,'Plano de Contas'!#REF!,8,FALSE)),"",VLOOKUP($A69,'Plano de Contas'!#REF!,8,FALSE))</f>
        <v/>
      </c>
      <c r="P69" s="6" t="str">
        <f>IF(ISERROR(VLOOKUP($A69,'Plano de Contas'!#REF!,10,FALSE)),"",VLOOKUP($A69,'Plano de Contas'!#REF!,10,FALSE))</f>
        <v/>
      </c>
    </row>
    <row r="70" spans="1:16" x14ac:dyDescent="0.25">
      <c r="A70" t="s">
        <v>140</v>
      </c>
      <c r="B70">
        <v>474</v>
      </c>
      <c r="C70" t="s">
        <v>141</v>
      </c>
      <c r="D70">
        <v>0.05</v>
      </c>
      <c r="F70" s="10">
        <v>10983.59</v>
      </c>
      <c r="H70" s="10">
        <v>10983.62</v>
      </c>
      <c r="I70" t="s">
        <v>35</v>
      </c>
      <c r="J70">
        <v>0.02</v>
      </c>
      <c r="L70" s="49">
        <f t="shared" si="0"/>
        <v>0.02</v>
      </c>
      <c r="N70" s="6" t="str">
        <f>IF(ISERROR(VLOOKUP($A70,'Plano de Contas'!#REF!,8,FALSE)),"",VLOOKUP($A70,'Plano de Contas'!#REF!,8,FALSE))</f>
        <v/>
      </c>
      <c r="P70" s="6" t="str">
        <f>IF(ISERROR(VLOOKUP($A70,'Plano de Contas'!#REF!,10,FALSE)),"",VLOOKUP($A70,'Plano de Contas'!#REF!,10,FALSE))</f>
        <v/>
      </c>
    </row>
    <row r="71" spans="1:16" x14ac:dyDescent="0.25">
      <c r="A71" t="s">
        <v>142</v>
      </c>
      <c r="B71">
        <v>475</v>
      </c>
      <c r="C71" t="s">
        <v>143</v>
      </c>
      <c r="D71">
        <v>7.0000000000000007E-2</v>
      </c>
      <c r="E71" t="s">
        <v>35</v>
      </c>
      <c r="F71" s="10">
        <v>50693.57</v>
      </c>
      <c r="H71" s="10">
        <v>50693.59</v>
      </c>
      <c r="I71" t="s">
        <v>35</v>
      </c>
      <c r="J71">
        <v>0.09</v>
      </c>
      <c r="K71" t="s">
        <v>35</v>
      </c>
      <c r="L71" s="49">
        <f t="shared" si="0"/>
        <v>-0.09</v>
      </c>
      <c r="N71" s="6" t="str">
        <f>IF(ISERROR(VLOOKUP($A71,'Plano de Contas'!#REF!,8,FALSE)),"",VLOOKUP($A71,'Plano de Contas'!#REF!,8,FALSE))</f>
        <v/>
      </c>
      <c r="P71" s="6" t="str">
        <f>IF(ISERROR(VLOOKUP($A71,'Plano de Contas'!#REF!,10,FALSE)),"",VLOOKUP($A71,'Plano de Contas'!#REF!,10,FALSE))</f>
        <v/>
      </c>
    </row>
    <row r="72" spans="1:16" x14ac:dyDescent="0.25">
      <c r="A72" t="s">
        <v>144</v>
      </c>
      <c r="B72">
        <v>491</v>
      </c>
      <c r="C72" t="s">
        <v>145</v>
      </c>
      <c r="D72" s="10">
        <v>1014059.75</v>
      </c>
      <c r="F72" s="10">
        <v>81109.789999999994</v>
      </c>
      <c r="H72">
        <v>0</v>
      </c>
      <c r="J72" s="10">
        <v>1095169.54</v>
      </c>
      <c r="L72" s="49">
        <f t="shared" ref="L72:L135" si="1">IF(K72="-",-J72,J72)</f>
        <v>1095169.54</v>
      </c>
      <c r="N72" s="6" t="str">
        <f>IF(ISERROR(VLOOKUP($A72,'Plano de Contas'!#REF!,8,FALSE)),"",VLOOKUP($A72,'Plano de Contas'!#REF!,8,FALSE))</f>
        <v/>
      </c>
      <c r="P72" s="6" t="str">
        <f>IF(ISERROR(VLOOKUP($A72,'Plano de Contas'!#REF!,10,FALSE)),"",VLOOKUP($A72,'Plano de Contas'!#REF!,10,FALSE))</f>
        <v/>
      </c>
    </row>
    <row r="73" spans="1:16" x14ac:dyDescent="0.25">
      <c r="A73" t="s">
        <v>146</v>
      </c>
      <c r="B73">
        <v>493</v>
      </c>
      <c r="C73" t="s">
        <v>147</v>
      </c>
      <c r="D73">
        <v>357.79</v>
      </c>
      <c r="F73">
        <v>0</v>
      </c>
      <c r="H73">
        <v>0</v>
      </c>
      <c r="J73">
        <v>357.79</v>
      </c>
      <c r="L73" s="49">
        <f t="shared" si="1"/>
        <v>357.79</v>
      </c>
      <c r="N73" s="6" t="str">
        <f>IF(ISERROR(VLOOKUP($A73,'Plano de Contas'!#REF!,8,FALSE)),"",VLOOKUP($A73,'Plano de Contas'!#REF!,8,FALSE))</f>
        <v/>
      </c>
      <c r="P73" s="6" t="str">
        <f>IF(ISERROR(VLOOKUP($A73,'Plano de Contas'!#REF!,10,FALSE)),"",VLOOKUP($A73,'Plano de Contas'!#REF!,10,FALSE))</f>
        <v/>
      </c>
    </row>
    <row r="74" spans="1:16" x14ac:dyDescent="0.25">
      <c r="A74" t="s">
        <v>148</v>
      </c>
      <c r="B74">
        <v>501</v>
      </c>
      <c r="C74" t="s">
        <v>149</v>
      </c>
      <c r="D74" s="10">
        <v>137847.32</v>
      </c>
      <c r="F74" s="10">
        <v>16897.8</v>
      </c>
      <c r="H74">
        <v>0</v>
      </c>
      <c r="J74" s="10">
        <v>154745.12</v>
      </c>
      <c r="L74" s="49">
        <f t="shared" si="1"/>
        <v>154745.12</v>
      </c>
      <c r="N74" s="6" t="str">
        <f>IF(ISERROR(VLOOKUP($A74,'Plano de Contas'!#REF!,8,FALSE)),"",VLOOKUP($A74,'Plano de Contas'!#REF!,8,FALSE))</f>
        <v/>
      </c>
      <c r="P74" s="6" t="str">
        <f>IF(ISERROR(VLOOKUP($A74,'Plano de Contas'!#REF!,10,FALSE)),"",VLOOKUP($A74,'Plano de Contas'!#REF!,10,FALSE))</f>
        <v/>
      </c>
    </row>
    <row r="75" spans="1:16" x14ac:dyDescent="0.25">
      <c r="A75" t="s">
        <v>150</v>
      </c>
      <c r="B75">
        <v>608</v>
      </c>
      <c r="C75" t="s">
        <v>151</v>
      </c>
      <c r="D75" s="10">
        <v>6202.73</v>
      </c>
      <c r="F75">
        <v>0</v>
      </c>
      <c r="H75">
        <v>0</v>
      </c>
      <c r="J75" s="10">
        <v>6202.73</v>
      </c>
      <c r="L75" s="49">
        <f t="shared" si="1"/>
        <v>6202.73</v>
      </c>
      <c r="N75" s="6" t="str">
        <f>IF(ISERROR(VLOOKUP($A75,'Plano de Contas'!#REF!,8,FALSE)),"",VLOOKUP($A75,'Plano de Contas'!#REF!,8,FALSE))</f>
        <v/>
      </c>
      <c r="P75" s="6" t="str">
        <f>IF(ISERROR(VLOOKUP($A75,'Plano de Contas'!#REF!,10,FALSE)),"",VLOOKUP($A75,'Plano de Contas'!#REF!,10,FALSE))</f>
        <v/>
      </c>
    </row>
    <row r="76" spans="1:16" x14ac:dyDescent="0.25">
      <c r="A76" t="s">
        <v>152</v>
      </c>
      <c r="B76">
        <v>609</v>
      </c>
      <c r="C76" t="s">
        <v>153</v>
      </c>
      <c r="D76" s="10">
        <v>24122.36</v>
      </c>
      <c r="F76">
        <v>0</v>
      </c>
      <c r="H76">
        <v>0</v>
      </c>
      <c r="J76" s="10">
        <v>24122.36</v>
      </c>
      <c r="L76" s="49">
        <f t="shared" si="1"/>
        <v>24122.36</v>
      </c>
      <c r="N76" s="6" t="str">
        <f>IF(ISERROR(VLOOKUP($A76,'Plano de Contas'!#REF!,8,FALSE)),"",VLOOKUP($A76,'Plano de Contas'!#REF!,8,FALSE))</f>
        <v/>
      </c>
      <c r="P76" s="6" t="str">
        <f>IF(ISERROR(VLOOKUP($A76,'Plano de Contas'!#REF!,10,FALSE)),"",VLOOKUP($A76,'Plano de Contas'!#REF!,10,FALSE))</f>
        <v/>
      </c>
    </row>
    <row r="77" spans="1:16" x14ac:dyDescent="0.25">
      <c r="A77" t="s">
        <v>154</v>
      </c>
      <c r="B77">
        <v>623</v>
      </c>
      <c r="C77" t="s">
        <v>155</v>
      </c>
      <c r="D77">
        <v>17.45</v>
      </c>
      <c r="F77">
        <v>0</v>
      </c>
      <c r="H77">
        <v>0</v>
      </c>
      <c r="J77">
        <v>17.45</v>
      </c>
      <c r="L77" s="49">
        <f t="shared" si="1"/>
        <v>17.45</v>
      </c>
      <c r="N77" s="6" t="str">
        <f>IF(ISERROR(VLOOKUP($A77,'Plano de Contas'!#REF!,8,FALSE)),"",VLOOKUP($A77,'Plano de Contas'!#REF!,8,FALSE))</f>
        <v/>
      </c>
      <c r="P77" s="6" t="str">
        <f>IF(ISERROR(VLOOKUP($A77,'Plano de Contas'!#REF!,10,FALSE)),"",VLOOKUP($A77,'Plano de Contas'!#REF!,10,FALSE))</f>
        <v/>
      </c>
    </row>
    <row r="78" spans="1:16" x14ac:dyDescent="0.25">
      <c r="A78" t="s">
        <v>156</v>
      </c>
      <c r="B78">
        <v>631</v>
      </c>
      <c r="C78" t="s">
        <v>157</v>
      </c>
      <c r="D78" s="10">
        <v>22427.919999999998</v>
      </c>
      <c r="F78">
        <v>0</v>
      </c>
      <c r="H78">
        <v>0</v>
      </c>
      <c r="J78" s="10">
        <v>22427.919999999998</v>
      </c>
      <c r="L78" s="49">
        <f t="shared" si="1"/>
        <v>22427.919999999998</v>
      </c>
      <c r="N78" s="6" t="str">
        <f>IF(ISERROR(VLOOKUP($A78,'Plano de Contas'!#REF!,8,FALSE)),"",VLOOKUP($A78,'Plano de Contas'!#REF!,8,FALSE))</f>
        <v/>
      </c>
      <c r="P78" s="6" t="str">
        <f>IF(ISERROR(VLOOKUP($A78,'Plano de Contas'!#REF!,10,FALSE)),"",VLOOKUP($A78,'Plano de Contas'!#REF!,10,FALSE))</f>
        <v/>
      </c>
    </row>
    <row r="79" spans="1:16" x14ac:dyDescent="0.25">
      <c r="A79" t="s">
        <v>158</v>
      </c>
      <c r="B79">
        <v>636</v>
      </c>
      <c r="C79" t="s">
        <v>159</v>
      </c>
      <c r="D79" s="10">
        <v>39414.92</v>
      </c>
      <c r="F79" s="10">
        <v>50877.65</v>
      </c>
      <c r="H79">
        <v>0</v>
      </c>
      <c r="J79" s="10">
        <v>90292.57</v>
      </c>
      <c r="L79" s="49">
        <f t="shared" si="1"/>
        <v>90292.57</v>
      </c>
      <c r="N79" s="6" t="str">
        <f>IF(ISERROR(VLOOKUP($A79,'Plano de Contas'!#REF!,8,FALSE)),"",VLOOKUP($A79,'Plano de Contas'!#REF!,8,FALSE))</f>
        <v/>
      </c>
      <c r="P79" s="6" t="str">
        <f>IF(ISERROR(VLOOKUP($A79,'Plano de Contas'!#REF!,10,FALSE)),"",VLOOKUP($A79,'Plano de Contas'!#REF!,10,FALSE))</f>
        <v/>
      </c>
    </row>
    <row r="80" spans="1:16" x14ac:dyDescent="0.25">
      <c r="A80" t="s">
        <v>160</v>
      </c>
      <c r="B80">
        <v>635</v>
      </c>
      <c r="C80" t="s">
        <v>161</v>
      </c>
      <c r="D80" s="10">
        <v>275720.03000000003</v>
      </c>
      <c r="F80">
        <v>0</v>
      </c>
      <c r="H80">
        <v>0</v>
      </c>
      <c r="J80" s="10">
        <v>275720.03000000003</v>
      </c>
      <c r="L80" s="49">
        <f t="shared" si="1"/>
        <v>275720.03000000003</v>
      </c>
      <c r="N80" s="6" t="str">
        <f>IF(ISERROR(VLOOKUP($A80,'Plano de Contas'!#REF!,8,FALSE)),"",VLOOKUP($A80,'Plano de Contas'!#REF!,8,FALSE))</f>
        <v/>
      </c>
      <c r="P80" s="6" t="str">
        <f>IF(ISERROR(VLOOKUP($A80,'Plano de Contas'!#REF!,10,FALSE)),"",VLOOKUP($A80,'Plano de Contas'!#REF!,10,FALSE))</f>
        <v/>
      </c>
    </row>
    <row r="81" spans="1:16" x14ac:dyDescent="0.25">
      <c r="A81" t="s">
        <v>162</v>
      </c>
      <c r="B81">
        <v>666</v>
      </c>
      <c r="C81" t="s">
        <v>163</v>
      </c>
      <c r="D81" s="10">
        <v>14699.97</v>
      </c>
      <c r="F81">
        <v>0</v>
      </c>
      <c r="H81">
        <v>0</v>
      </c>
      <c r="J81" s="10">
        <v>14699.97</v>
      </c>
      <c r="L81" s="49">
        <f t="shared" si="1"/>
        <v>14699.97</v>
      </c>
      <c r="N81" s="6" t="str">
        <f>IF(ISERROR(VLOOKUP($A81,'Plano de Contas'!#REF!,8,FALSE)),"",VLOOKUP($A81,'Plano de Contas'!#REF!,8,FALSE))</f>
        <v/>
      </c>
      <c r="P81" s="6" t="str">
        <f>IF(ISERROR(VLOOKUP($A81,'Plano de Contas'!#REF!,10,FALSE)),"",VLOOKUP($A81,'Plano de Contas'!#REF!,10,FALSE))</f>
        <v/>
      </c>
    </row>
    <row r="82" spans="1:16" x14ac:dyDescent="0.25">
      <c r="A82" t="s">
        <v>164</v>
      </c>
      <c r="B82">
        <v>667</v>
      </c>
      <c r="C82" t="s">
        <v>165</v>
      </c>
      <c r="D82" s="10">
        <v>32019.8</v>
      </c>
      <c r="F82">
        <v>0</v>
      </c>
      <c r="H82">
        <v>0</v>
      </c>
      <c r="J82" s="10">
        <v>32019.8</v>
      </c>
      <c r="L82" s="49">
        <f t="shared" si="1"/>
        <v>32019.8</v>
      </c>
      <c r="N82" s="6" t="str">
        <f>IF(ISERROR(VLOOKUP($A82,'Plano de Contas'!#REF!,8,FALSE)),"",VLOOKUP($A82,'Plano de Contas'!#REF!,8,FALSE))</f>
        <v/>
      </c>
      <c r="P82" s="6" t="str">
        <f>IF(ISERROR(VLOOKUP($A82,'Plano de Contas'!#REF!,10,FALSE)),"",VLOOKUP($A82,'Plano de Contas'!#REF!,10,FALSE))</f>
        <v/>
      </c>
    </row>
    <row r="83" spans="1:16" x14ac:dyDescent="0.25">
      <c r="A83" t="s">
        <v>166</v>
      </c>
      <c r="B83">
        <v>668</v>
      </c>
      <c r="C83" t="s">
        <v>167</v>
      </c>
      <c r="D83" s="10">
        <v>16533.349999999999</v>
      </c>
      <c r="F83">
        <v>0</v>
      </c>
      <c r="H83">
        <v>0</v>
      </c>
      <c r="J83" s="10">
        <v>16533.349999999999</v>
      </c>
      <c r="L83" s="49">
        <f t="shared" si="1"/>
        <v>16533.349999999999</v>
      </c>
      <c r="N83" s="6" t="str">
        <f>IF(ISERROR(VLOOKUP($A83,'Plano de Contas'!#REF!,8,FALSE)),"",VLOOKUP($A83,'Plano de Contas'!#REF!,8,FALSE))</f>
        <v/>
      </c>
      <c r="P83" s="6" t="str">
        <f>IF(ISERROR(VLOOKUP($A83,'Plano de Contas'!#REF!,10,FALSE)),"",VLOOKUP($A83,'Plano de Contas'!#REF!,10,FALSE))</f>
        <v/>
      </c>
    </row>
    <row r="84" spans="1:16" x14ac:dyDescent="0.25">
      <c r="A84" t="s">
        <v>168</v>
      </c>
      <c r="B84">
        <v>683</v>
      </c>
      <c r="C84" t="s">
        <v>169</v>
      </c>
      <c r="D84" s="10">
        <v>380609.42</v>
      </c>
      <c r="F84">
        <v>0</v>
      </c>
      <c r="H84">
        <v>0</v>
      </c>
      <c r="J84" s="10">
        <v>380609.42</v>
      </c>
      <c r="L84" s="1">
        <f t="shared" si="1"/>
        <v>380609.42</v>
      </c>
      <c r="N84" s="6" t="str">
        <f>IF(ISERROR(VLOOKUP($A84,'Plano de Contas'!#REF!,8,FALSE)),"",VLOOKUP($A84,'Plano de Contas'!#REF!,8,FALSE))</f>
        <v/>
      </c>
      <c r="P84" s="6" t="str">
        <f>IF(ISERROR(VLOOKUP($A84,'Plano de Contas'!#REF!,10,FALSE)),"",VLOOKUP($A84,'Plano de Contas'!#REF!,10,FALSE))</f>
        <v/>
      </c>
    </row>
    <row r="85" spans="1:16" x14ac:dyDescent="0.25">
      <c r="A85" t="s">
        <v>170</v>
      </c>
      <c r="B85">
        <v>684</v>
      </c>
      <c r="C85" t="s">
        <v>171</v>
      </c>
      <c r="D85" s="10">
        <v>170707.11</v>
      </c>
      <c r="F85">
        <v>0</v>
      </c>
      <c r="H85">
        <v>0</v>
      </c>
      <c r="J85" s="10">
        <v>170707.11</v>
      </c>
      <c r="L85" s="1">
        <f t="shared" si="1"/>
        <v>170707.11</v>
      </c>
      <c r="N85" s="6" t="str">
        <f>IF(ISERROR(VLOOKUP($A85,'Plano de Contas'!#REF!,8,FALSE)),"",VLOOKUP($A85,'Plano de Contas'!#REF!,8,FALSE))</f>
        <v/>
      </c>
      <c r="P85" s="6" t="str">
        <f>IF(ISERROR(VLOOKUP($A85,'Plano de Contas'!#REF!,10,FALSE)),"",VLOOKUP($A85,'Plano de Contas'!#REF!,10,FALSE))</f>
        <v/>
      </c>
    </row>
    <row r="86" spans="1:16" x14ac:dyDescent="0.25">
      <c r="A86" t="s">
        <v>172</v>
      </c>
      <c r="B86">
        <v>717</v>
      </c>
      <c r="C86" t="s">
        <v>173</v>
      </c>
      <c r="D86" s="10">
        <v>1007.74</v>
      </c>
      <c r="F86">
        <v>0</v>
      </c>
      <c r="H86">
        <v>0</v>
      </c>
      <c r="J86" s="10">
        <v>1007.74</v>
      </c>
      <c r="L86" s="48">
        <f t="shared" si="1"/>
        <v>1007.74</v>
      </c>
      <c r="N86" s="6" t="str">
        <f>IF(ISERROR(VLOOKUP($A86,'Plano de Contas'!#REF!,8,FALSE)),"",VLOOKUP($A86,'Plano de Contas'!#REF!,8,FALSE))</f>
        <v/>
      </c>
      <c r="P86" s="6" t="str">
        <f>IF(ISERROR(VLOOKUP($A86,'Plano de Contas'!#REF!,10,FALSE)),"",VLOOKUP($A86,'Plano de Contas'!#REF!,10,FALSE))</f>
        <v/>
      </c>
    </row>
    <row r="87" spans="1:16" x14ac:dyDescent="0.25">
      <c r="A87" t="s">
        <v>174</v>
      </c>
      <c r="B87">
        <v>719</v>
      </c>
      <c r="C87" t="s">
        <v>175</v>
      </c>
      <c r="D87" s="10">
        <v>35717.19</v>
      </c>
      <c r="F87">
        <v>0</v>
      </c>
      <c r="H87">
        <v>0</v>
      </c>
      <c r="J87" s="10">
        <v>35717.19</v>
      </c>
      <c r="L87" s="48">
        <f t="shared" si="1"/>
        <v>35717.19</v>
      </c>
      <c r="N87" s="6" t="str">
        <f>IF(ISERROR(VLOOKUP($A87,'Plano de Contas'!#REF!,8,FALSE)),"",VLOOKUP($A87,'Plano de Contas'!#REF!,8,FALSE))</f>
        <v/>
      </c>
      <c r="P87" s="6" t="str">
        <f>IF(ISERROR(VLOOKUP($A87,'Plano de Contas'!#REF!,10,FALSE)),"",VLOOKUP($A87,'Plano de Contas'!#REF!,10,FALSE))</f>
        <v/>
      </c>
    </row>
    <row r="88" spans="1:16" x14ac:dyDescent="0.25">
      <c r="A88" t="s">
        <v>176</v>
      </c>
      <c r="B88">
        <v>720</v>
      </c>
      <c r="C88" t="s">
        <v>177</v>
      </c>
      <c r="D88" s="10">
        <v>3922.66</v>
      </c>
      <c r="F88">
        <v>0</v>
      </c>
      <c r="H88">
        <v>0</v>
      </c>
      <c r="J88" s="10">
        <v>3922.66</v>
      </c>
      <c r="L88" s="1">
        <f t="shared" si="1"/>
        <v>3922.66</v>
      </c>
      <c r="N88" s="6" t="str">
        <f>IF(ISERROR(VLOOKUP($A88,'Plano de Contas'!#REF!,8,FALSE)),"",VLOOKUP($A88,'Plano de Contas'!#REF!,8,FALSE))</f>
        <v/>
      </c>
      <c r="P88" s="6" t="str">
        <f>IF(ISERROR(VLOOKUP($A88,'Plano de Contas'!#REF!,10,FALSE)),"",VLOOKUP($A88,'Plano de Contas'!#REF!,10,FALSE))</f>
        <v/>
      </c>
    </row>
    <row r="89" spans="1:16" x14ac:dyDescent="0.25">
      <c r="A89" t="s">
        <v>178</v>
      </c>
      <c r="B89">
        <v>755</v>
      </c>
      <c r="C89" t="s">
        <v>179</v>
      </c>
      <c r="D89" s="10">
        <v>425767.52</v>
      </c>
      <c r="F89">
        <v>0</v>
      </c>
      <c r="H89">
        <v>0</v>
      </c>
      <c r="J89" s="10">
        <v>425767.52</v>
      </c>
      <c r="L89" s="1">
        <f t="shared" si="1"/>
        <v>425767.52</v>
      </c>
      <c r="N89" s="6" t="str">
        <f>IF(ISERROR(VLOOKUP($A89,'Plano de Contas'!#REF!,8,FALSE)),"",VLOOKUP($A89,'Plano de Contas'!#REF!,8,FALSE))</f>
        <v/>
      </c>
      <c r="P89" s="6" t="str">
        <f>IF(ISERROR(VLOOKUP($A89,'Plano de Contas'!#REF!,10,FALSE)),"",VLOOKUP($A89,'Plano de Contas'!#REF!,10,FALSE))</f>
        <v/>
      </c>
    </row>
    <row r="90" spans="1:16" x14ac:dyDescent="0.25">
      <c r="A90" t="s">
        <v>180</v>
      </c>
      <c r="B90">
        <v>933</v>
      </c>
      <c r="C90" t="s">
        <v>181</v>
      </c>
      <c r="D90" s="10">
        <v>271922.76</v>
      </c>
      <c r="F90">
        <v>0</v>
      </c>
      <c r="H90">
        <v>0</v>
      </c>
      <c r="J90" s="10">
        <v>271922.76</v>
      </c>
      <c r="L90" s="49">
        <f t="shared" si="1"/>
        <v>271922.76</v>
      </c>
      <c r="N90" s="6" t="str">
        <f>IF(ISERROR(VLOOKUP($A90,'Plano de Contas'!#REF!,8,FALSE)),"",VLOOKUP($A90,'Plano de Contas'!#REF!,8,FALSE))</f>
        <v/>
      </c>
      <c r="P90" s="6" t="str">
        <f>IF(ISERROR(VLOOKUP($A90,'Plano de Contas'!#REF!,10,FALSE)),"",VLOOKUP($A90,'Plano de Contas'!#REF!,10,FALSE))</f>
        <v/>
      </c>
    </row>
    <row r="91" spans="1:16" x14ac:dyDescent="0.25">
      <c r="A91" t="s">
        <v>182</v>
      </c>
      <c r="B91">
        <v>934</v>
      </c>
      <c r="C91" t="s">
        <v>183</v>
      </c>
      <c r="D91" s="10">
        <v>91412.19</v>
      </c>
      <c r="F91">
        <v>0</v>
      </c>
      <c r="H91">
        <v>0</v>
      </c>
      <c r="J91" s="10">
        <v>91412.19</v>
      </c>
      <c r="L91" s="48">
        <f t="shared" si="1"/>
        <v>91412.19</v>
      </c>
      <c r="N91" s="6" t="str">
        <f>IF(ISERROR(VLOOKUP($A91,'Plano de Contas'!#REF!,8,FALSE)),"",VLOOKUP($A91,'Plano de Contas'!#REF!,8,FALSE))</f>
        <v/>
      </c>
      <c r="P91" s="6" t="str">
        <f>IF(ISERROR(VLOOKUP($A91,'Plano de Contas'!#REF!,10,FALSE)),"",VLOOKUP($A91,'Plano de Contas'!#REF!,10,FALSE))</f>
        <v/>
      </c>
    </row>
    <row r="92" spans="1:16" x14ac:dyDescent="0.25">
      <c r="A92" t="s">
        <v>184</v>
      </c>
      <c r="B92">
        <v>961</v>
      </c>
      <c r="C92" t="s">
        <v>185</v>
      </c>
      <c r="D92" s="10">
        <v>3839.13</v>
      </c>
      <c r="F92">
        <v>0</v>
      </c>
      <c r="H92">
        <v>0</v>
      </c>
      <c r="J92" s="10">
        <v>3839.13</v>
      </c>
      <c r="L92" s="49">
        <f t="shared" si="1"/>
        <v>3839.13</v>
      </c>
      <c r="N92" s="6" t="str">
        <f>IF(ISERROR(VLOOKUP($A92,'Plano de Contas'!#REF!,8,FALSE)),"",VLOOKUP($A92,'Plano de Contas'!#REF!,8,FALSE))</f>
        <v/>
      </c>
      <c r="P92" s="6" t="str">
        <f>IF(ISERROR(VLOOKUP($A92,'Plano de Contas'!#REF!,10,FALSE)),"",VLOOKUP($A92,'Plano de Contas'!#REF!,10,FALSE))</f>
        <v/>
      </c>
    </row>
    <row r="93" spans="1:16" x14ac:dyDescent="0.25">
      <c r="A93" t="s">
        <v>186</v>
      </c>
      <c r="B93">
        <v>962</v>
      </c>
      <c r="C93" t="s">
        <v>187</v>
      </c>
      <c r="D93">
        <v>0</v>
      </c>
      <c r="F93" s="10">
        <v>57425.94</v>
      </c>
      <c r="H93">
        <v>0</v>
      </c>
      <c r="J93" s="10">
        <v>57425.94</v>
      </c>
      <c r="L93" s="49">
        <f t="shared" si="1"/>
        <v>57425.94</v>
      </c>
      <c r="N93" s="6" t="str">
        <f>IF(ISERROR(VLOOKUP($A93,'Plano de Contas'!#REF!,8,FALSE)),"",VLOOKUP($A93,'Plano de Contas'!#REF!,8,FALSE))</f>
        <v/>
      </c>
      <c r="P93" s="6" t="str">
        <f>IF(ISERROR(VLOOKUP($A93,'Plano de Contas'!#REF!,10,FALSE)),"",VLOOKUP($A93,'Plano de Contas'!#REF!,10,FALSE))</f>
        <v/>
      </c>
    </row>
    <row r="94" spans="1:16" x14ac:dyDescent="0.25">
      <c r="A94" t="s">
        <v>188</v>
      </c>
      <c r="B94">
        <v>963</v>
      </c>
      <c r="C94" t="s">
        <v>189</v>
      </c>
      <c r="D94">
        <v>0</v>
      </c>
      <c r="F94" s="10">
        <v>248980.31</v>
      </c>
      <c r="H94">
        <v>0</v>
      </c>
      <c r="J94" s="10">
        <v>248980.31</v>
      </c>
      <c r="L94" s="49">
        <f t="shared" si="1"/>
        <v>248980.31</v>
      </c>
      <c r="N94" s="6" t="str">
        <f>IF(ISERROR(VLOOKUP($A94,'Plano de Contas'!#REF!,8,FALSE)),"",VLOOKUP($A94,'Plano de Contas'!#REF!,8,FALSE))</f>
        <v/>
      </c>
      <c r="P94" s="6" t="str">
        <f>IF(ISERROR(VLOOKUP($A94,'Plano de Contas'!#REF!,10,FALSE)),"",VLOOKUP($A94,'Plano de Contas'!#REF!,10,FALSE))</f>
        <v/>
      </c>
    </row>
    <row r="95" spans="1:16" x14ac:dyDescent="0.25">
      <c r="L95" s="48">
        <f t="shared" si="1"/>
        <v>0</v>
      </c>
      <c r="N95" s="6" t="str">
        <f>IF(ISERROR(VLOOKUP($A95,'Plano de Contas'!#REF!,8,FALSE)),"",VLOOKUP($A95,'Plano de Contas'!#REF!,8,FALSE))</f>
        <v/>
      </c>
      <c r="P95" s="6" t="str">
        <f>IF(ISERROR(VLOOKUP($A95,'Plano de Contas'!#REF!,10,FALSE)),"",VLOOKUP($A95,'Plano de Contas'!#REF!,10,FALSE))</f>
        <v/>
      </c>
    </row>
    <row r="96" spans="1:16" x14ac:dyDescent="0.25">
      <c r="A96" t="s">
        <v>190</v>
      </c>
      <c r="B96">
        <v>44</v>
      </c>
      <c r="C96" t="s">
        <v>191</v>
      </c>
      <c r="D96" s="10">
        <v>12431640.5</v>
      </c>
      <c r="F96" s="10">
        <v>8935754.4700000007</v>
      </c>
      <c r="H96" s="10">
        <v>2078296.17</v>
      </c>
      <c r="I96" t="s">
        <v>35</v>
      </c>
      <c r="J96" s="10">
        <v>19289098.800000001</v>
      </c>
      <c r="L96" s="49">
        <f t="shared" si="1"/>
        <v>19289098.800000001</v>
      </c>
      <c r="N96" s="6" t="str">
        <f>IF(ISERROR(VLOOKUP($A96,'Plano de Contas'!#REF!,8,FALSE)),"",VLOOKUP($A96,'Plano de Contas'!#REF!,8,FALSE))</f>
        <v/>
      </c>
      <c r="P96" s="6" t="str">
        <f>IF(ISERROR(VLOOKUP($A96,'Plano de Contas'!#REF!,10,FALSE)),"",VLOOKUP($A96,'Plano de Contas'!#REF!,10,FALSE))</f>
        <v/>
      </c>
    </row>
    <row r="97" spans="1:16" x14ac:dyDescent="0.25">
      <c r="A97" t="s">
        <v>192</v>
      </c>
      <c r="B97">
        <v>45</v>
      </c>
      <c r="C97" t="s">
        <v>193</v>
      </c>
      <c r="D97" s="10">
        <v>11089196.57</v>
      </c>
      <c r="F97" s="10">
        <v>8935754.4700000007</v>
      </c>
      <c r="H97" s="10">
        <v>1892695.5</v>
      </c>
      <c r="I97" t="s">
        <v>35</v>
      </c>
      <c r="J97" s="10">
        <v>18132255.539999999</v>
      </c>
      <c r="L97" s="1">
        <f t="shared" si="1"/>
        <v>18132255.539999999</v>
      </c>
      <c r="N97" s="6" t="str">
        <f>IF(ISERROR(VLOOKUP($A97,'Plano de Contas'!#REF!,8,FALSE)),"",VLOOKUP($A97,'Plano de Contas'!#REF!,8,FALSE))</f>
        <v/>
      </c>
      <c r="P97" s="6" t="str">
        <f>IF(ISERROR(VLOOKUP($A97,'Plano de Contas'!#REF!,10,FALSE)),"",VLOOKUP($A97,'Plano de Contas'!#REF!,10,FALSE))</f>
        <v/>
      </c>
    </row>
    <row r="98" spans="1:16" x14ac:dyDescent="0.25">
      <c r="A98" t="s">
        <v>194</v>
      </c>
      <c r="B98">
        <v>436</v>
      </c>
      <c r="C98" t="s">
        <v>195</v>
      </c>
      <c r="D98" s="10">
        <v>1342443.93</v>
      </c>
      <c r="F98">
        <v>0</v>
      </c>
      <c r="H98" s="10">
        <v>185600.67</v>
      </c>
      <c r="I98" t="s">
        <v>35</v>
      </c>
      <c r="J98" s="10">
        <v>1156843.26</v>
      </c>
      <c r="L98" s="1">
        <f t="shared" si="1"/>
        <v>1156843.26</v>
      </c>
      <c r="N98" s="6" t="str">
        <f>IF(ISERROR(VLOOKUP($A98,'Plano de Contas'!#REF!,8,FALSE)),"",VLOOKUP($A98,'Plano de Contas'!#REF!,8,FALSE))</f>
        <v/>
      </c>
      <c r="P98" s="6" t="str">
        <f>IF(ISERROR(VLOOKUP($A98,'Plano de Contas'!#REF!,10,FALSE)),"",VLOOKUP($A98,'Plano de Contas'!#REF!,10,FALSE))</f>
        <v/>
      </c>
    </row>
    <row r="99" spans="1:16" x14ac:dyDescent="0.25">
      <c r="L99" s="49">
        <f t="shared" si="1"/>
        <v>0</v>
      </c>
      <c r="N99" s="6" t="str">
        <f>IF(ISERROR(VLOOKUP($A99,'Plano de Contas'!#REF!,8,FALSE)),"",VLOOKUP($A99,'Plano de Contas'!#REF!,8,FALSE))</f>
        <v/>
      </c>
      <c r="P99" s="6" t="str">
        <f>IF(ISERROR(VLOOKUP($A99,'Plano de Contas'!#REF!,10,FALSE)),"",VLOOKUP($A99,'Plano de Contas'!#REF!,10,FALSE))</f>
        <v/>
      </c>
    </row>
    <row r="100" spans="1:16" x14ac:dyDescent="0.25">
      <c r="A100" t="s">
        <v>196</v>
      </c>
      <c r="B100">
        <v>46</v>
      </c>
      <c r="C100" t="s">
        <v>197</v>
      </c>
      <c r="D100" s="10">
        <v>19693.54</v>
      </c>
      <c r="E100" t="s">
        <v>35</v>
      </c>
      <c r="F100">
        <v>0</v>
      </c>
      <c r="H100">
        <v>0</v>
      </c>
      <c r="J100" s="10">
        <v>19693.54</v>
      </c>
      <c r="K100" t="s">
        <v>35</v>
      </c>
      <c r="L100" s="49">
        <f t="shared" si="1"/>
        <v>-19693.54</v>
      </c>
      <c r="N100" s="6" t="str">
        <f>IF(ISERROR(VLOOKUP($A100,'Plano de Contas'!#REF!,8,FALSE)),"",VLOOKUP($A100,'Plano de Contas'!#REF!,8,FALSE))</f>
        <v/>
      </c>
      <c r="P100" s="6" t="str">
        <f>IF(ISERROR(VLOOKUP($A100,'Plano de Contas'!#REF!,10,FALSE)),"",VLOOKUP($A100,'Plano de Contas'!#REF!,10,FALSE))</f>
        <v/>
      </c>
    </row>
    <row r="101" spans="1:16" x14ac:dyDescent="0.25">
      <c r="A101" t="s">
        <v>198</v>
      </c>
      <c r="B101">
        <v>528</v>
      </c>
      <c r="C101" t="s">
        <v>199</v>
      </c>
      <c r="D101" s="10">
        <v>35713.019999999997</v>
      </c>
      <c r="F101">
        <v>0</v>
      </c>
      <c r="H101">
        <v>0</v>
      </c>
      <c r="J101" s="10">
        <v>35713.019999999997</v>
      </c>
      <c r="L101" s="1">
        <f t="shared" si="1"/>
        <v>35713.019999999997</v>
      </c>
      <c r="N101" s="6" t="str">
        <f>IF(ISERROR(VLOOKUP($A101,'Plano de Contas'!#REF!,8,FALSE)),"",VLOOKUP($A101,'Plano de Contas'!#REF!,8,FALSE))</f>
        <v/>
      </c>
      <c r="P101" s="6" t="str">
        <f>IF(ISERROR(VLOOKUP($A101,'Plano de Contas'!#REF!,10,FALSE)),"",VLOOKUP($A101,'Plano de Contas'!#REF!,10,FALSE))</f>
        <v/>
      </c>
    </row>
    <row r="102" spans="1:16" x14ac:dyDescent="0.25">
      <c r="A102" t="s">
        <v>200</v>
      </c>
      <c r="B102">
        <v>902</v>
      </c>
      <c r="C102" t="s">
        <v>201</v>
      </c>
      <c r="D102" s="10">
        <v>466072.43</v>
      </c>
      <c r="F102">
        <v>0</v>
      </c>
      <c r="H102">
        <v>0</v>
      </c>
      <c r="J102" s="10">
        <v>466072.43</v>
      </c>
      <c r="L102" s="1">
        <f t="shared" si="1"/>
        <v>466072.43</v>
      </c>
      <c r="N102" s="6" t="str">
        <f>IF(ISERROR(VLOOKUP($A102,'Plano de Contas'!#REF!,8,FALSE)),"",VLOOKUP($A102,'Plano de Contas'!#REF!,8,FALSE))</f>
        <v/>
      </c>
      <c r="P102" s="6" t="str">
        <f>IF(ISERROR(VLOOKUP($A102,'Plano de Contas'!#REF!,10,FALSE)),"",VLOOKUP($A102,'Plano de Contas'!#REF!,10,FALSE))</f>
        <v/>
      </c>
    </row>
    <row r="103" spans="1:16" x14ac:dyDescent="0.25">
      <c r="A103" t="s">
        <v>202</v>
      </c>
      <c r="B103">
        <v>527</v>
      </c>
      <c r="C103" t="s">
        <v>203</v>
      </c>
      <c r="D103">
        <v>29.99</v>
      </c>
      <c r="E103" t="s">
        <v>35</v>
      </c>
      <c r="F103">
        <v>0</v>
      </c>
      <c r="H103">
        <v>0</v>
      </c>
      <c r="J103">
        <v>29.99</v>
      </c>
      <c r="K103" t="s">
        <v>35</v>
      </c>
      <c r="L103" s="48">
        <f t="shared" si="1"/>
        <v>-29.99</v>
      </c>
      <c r="N103" s="6" t="str">
        <f>IF(ISERROR(VLOOKUP($A103,'Plano de Contas'!#REF!,8,FALSE)),"",VLOOKUP($A103,'Plano de Contas'!#REF!,8,FALSE))</f>
        <v/>
      </c>
      <c r="P103" s="6" t="str">
        <f>IF(ISERROR(VLOOKUP($A103,'Plano de Contas'!#REF!,10,FALSE)),"",VLOOKUP($A103,'Plano de Contas'!#REF!,10,FALSE))</f>
        <v/>
      </c>
    </row>
    <row r="104" spans="1:16" x14ac:dyDescent="0.25">
      <c r="A104" t="s">
        <v>204</v>
      </c>
      <c r="B104">
        <v>529</v>
      </c>
      <c r="C104" t="s">
        <v>205</v>
      </c>
      <c r="D104">
        <v>797.8</v>
      </c>
      <c r="E104" t="s">
        <v>35</v>
      </c>
      <c r="F104">
        <v>0</v>
      </c>
      <c r="H104">
        <v>0</v>
      </c>
      <c r="J104">
        <v>797.8</v>
      </c>
      <c r="K104" t="s">
        <v>35</v>
      </c>
      <c r="L104" s="48">
        <f t="shared" si="1"/>
        <v>-797.8</v>
      </c>
      <c r="N104" s="6" t="str">
        <f>IF(ISERROR(VLOOKUP($A104,'Plano de Contas'!#REF!,8,FALSE)),"",VLOOKUP($A104,'Plano de Contas'!#REF!,8,FALSE))</f>
        <v/>
      </c>
      <c r="P104" s="6" t="str">
        <f>IF(ISERROR(VLOOKUP($A104,'Plano de Contas'!#REF!,10,FALSE)),"",VLOOKUP($A104,'Plano de Contas'!#REF!,10,FALSE))</f>
        <v/>
      </c>
    </row>
    <row r="105" spans="1:16" x14ac:dyDescent="0.25">
      <c r="A105" t="s">
        <v>206</v>
      </c>
      <c r="B105">
        <v>550</v>
      </c>
      <c r="C105" t="s">
        <v>207</v>
      </c>
      <c r="D105" s="10">
        <v>149754.76</v>
      </c>
      <c r="F105">
        <v>0</v>
      </c>
      <c r="H105">
        <v>0</v>
      </c>
      <c r="J105" s="10">
        <v>149754.76</v>
      </c>
      <c r="L105" s="1">
        <f t="shared" si="1"/>
        <v>149754.76</v>
      </c>
      <c r="N105" s="6" t="str">
        <f>IF(ISERROR(VLOOKUP($A105,'Plano de Contas'!#REF!,8,FALSE)),"",VLOOKUP($A105,'Plano de Contas'!#REF!,8,FALSE))</f>
        <v/>
      </c>
      <c r="P105" s="6" t="str">
        <f>IF(ISERROR(VLOOKUP($A105,'Plano de Contas'!#REF!,10,FALSE)),"",VLOOKUP($A105,'Plano de Contas'!#REF!,10,FALSE))</f>
        <v/>
      </c>
    </row>
    <row r="106" spans="1:16" x14ac:dyDescent="0.25">
      <c r="A106" t="s">
        <v>208</v>
      </c>
      <c r="B106">
        <v>672</v>
      </c>
      <c r="C106" t="s">
        <v>209</v>
      </c>
      <c r="D106" s="10">
        <v>12583.01</v>
      </c>
      <c r="F106">
        <v>0</v>
      </c>
      <c r="H106">
        <v>0</v>
      </c>
      <c r="J106" s="10">
        <v>12583.01</v>
      </c>
      <c r="L106" s="1">
        <f t="shared" si="1"/>
        <v>12583.01</v>
      </c>
      <c r="N106" s="6" t="str">
        <f>IF(ISERROR(VLOOKUP($A106,'Plano de Contas'!#REF!,8,FALSE)),"",VLOOKUP($A106,'Plano de Contas'!#REF!,8,FALSE))</f>
        <v/>
      </c>
      <c r="P106" s="6" t="str">
        <f>IF(ISERROR(VLOOKUP($A106,'Plano de Contas'!#REF!,10,FALSE)),"",VLOOKUP($A106,'Plano de Contas'!#REF!,10,FALSE))</f>
        <v/>
      </c>
    </row>
    <row r="107" spans="1:16" x14ac:dyDescent="0.25">
      <c r="A107" t="s">
        <v>210</v>
      </c>
      <c r="B107">
        <v>901</v>
      </c>
      <c r="C107" t="s">
        <v>211</v>
      </c>
      <c r="D107" s="10">
        <v>97151.67</v>
      </c>
      <c r="F107">
        <v>0</v>
      </c>
      <c r="H107">
        <v>0</v>
      </c>
      <c r="J107" s="10">
        <v>97151.67</v>
      </c>
      <c r="L107" s="48">
        <f t="shared" si="1"/>
        <v>97151.67</v>
      </c>
      <c r="N107" s="6" t="str">
        <f>IF(ISERROR(VLOOKUP($A107,'Plano de Contas'!#REF!,8,FALSE)),"",VLOOKUP($A107,'Plano de Contas'!#REF!,8,FALSE))</f>
        <v/>
      </c>
      <c r="P107" s="6" t="str">
        <f>IF(ISERROR(VLOOKUP($A107,'Plano de Contas'!#REF!,10,FALSE)),"",VLOOKUP($A107,'Plano de Contas'!#REF!,10,FALSE))</f>
        <v/>
      </c>
    </row>
    <row r="108" spans="1:16" x14ac:dyDescent="0.25">
      <c r="A108" t="s">
        <v>212</v>
      </c>
      <c r="B108">
        <v>924</v>
      </c>
      <c r="C108" t="s">
        <v>213</v>
      </c>
      <c r="D108" s="10">
        <v>91412.3</v>
      </c>
      <c r="E108" t="s">
        <v>35</v>
      </c>
      <c r="F108">
        <v>0</v>
      </c>
      <c r="H108">
        <v>0</v>
      </c>
      <c r="J108" s="10">
        <v>91412.3</v>
      </c>
      <c r="K108" t="s">
        <v>35</v>
      </c>
      <c r="L108" s="48">
        <f t="shared" si="1"/>
        <v>-91412.3</v>
      </c>
      <c r="N108" s="6" t="str">
        <f>IF(ISERROR(VLOOKUP($A108,'Plano de Contas'!#REF!,8,FALSE)),"",VLOOKUP($A108,'Plano de Contas'!#REF!,8,FALSE))</f>
        <v/>
      </c>
      <c r="P108" s="6" t="str">
        <f>IF(ISERROR(VLOOKUP($A108,'Plano de Contas'!#REF!,10,FALSE)),"",VLOOKUP($A108,'Plano de Contas'!#REF!,10,FALSE))</f>
        <v/>
      </c>
    </row>
    <row r="109" spans="1:16" x14ac:dyDescent="0.25">
      <c r="A109" t="s">
        <v>214</v>
      </c>
      <c r="B109">
        <v>925</v>
      </c>
      <c r="C109" t="s">
        <v>215</v>
      </c>
      <c r="D109" s="10">
        <v>688728.34</v>
      </c>
      <c r="E109" t="s">
        <v>35</v>
      </c>
      <c r="F109">
        <v>0</v>
      </c>
      <c r="H109">
        <v>0</v>
      </c>
      <c r="J109" s="10">
        <v>688728.34</v>
      </c>
      <c r="K109" t="s">
        <v>35</v>
      </c>
      <c r="L109" s="48">
        <f t="shared" si="1"/>
        <v>-688728.34</v>
      </c>
      <c r="N109" s="6" t="str">
        <f>IF(ISERROR(VLOOKUP($A109,'Plano de Contas'!#REF!,8,FALSE)),"",VLOOKUP($A109,'Plano de Contas'!#REF!,8,FALSE))</f>
        <v/>
      </c>
      <c r="P109" s="6" t="str">
        <f>IF(ISERROR(VLOOKUP($A109,'Plano de Contas'!#REF!,10,FALSE)),"",VLOOKUP($A109,'Plano de Contas'!#REF!,10,FALSE))</f>
        <v/>
      </c>
    </row>
    <row r="110" spans="1:16" x14ac:dyDescent="0.25">
      <c r="L110" s="48">
        <f t="shared" si="1"/>
        <v>0</v>
      </c>
      <c r="N110" s="6" t="str">
        <f>IF(ISERROR(VLOOKUP($A110,'Plano de Contas'!#REF!,8,FALSE)),"",VLOOKUP($A110,'Plano de Contas'!#REF!,8,FALSE))</f>
        <v/>
      </c>
      <c r="P110" s="6" t="str">
        <f>IF(ISERROR(VLOOKUP($A110,'Plano de Contas'!#REF!,10,FALSE)),"",VLOOKUP($A110,'Plano de Contas'!#REF!,10,FALSE))</f>
        <v/>
      </c>
    </row>
    <row r="111" spans="1:16" x14ac:dyDescent="0.25">
      <c r="A111" t="s">
        <v>216</v>
      </c>
      <c r="B111">
        <v>697</v>
      </c>
      <c r="C111" t="s">
        <v>217</v>
      </c>
      <c r="D111" s="10">
        <v>63774.45</v>
      </c>
      <c r="F111" s="10">
        <v>1999.26</v>
      </c>
      <c r="H111" s="10">
        <v>52317.26</v>
      </c>
      <c r="I111" t="s">
        <v>35</v>
      </c>
      <c r="J111" s="10">
        <v>13456.45</v>
      </c>
      <c r="L111" s="48">
        <f t="shared" si="1"/>
        <v>13456.45</v>
      </c>
      <c r="N111" s="6" t="str">
        <f>IF(ISERROR(VLOOKUP($A111,'Plano de Contas'!#REF!,8,FALSE)),"",VLOOKUP($A111,'Plano de Contas'!#REF!,8,FALSE))</f>
        <v/>
      </c>
      <c r="P111" s="6" t="str">
        <f>IF(ISERROR(VLOOKUP($A111,'Plano de Contas'!#REF!,10,FALSE)),"",VLOOKUP($A111,'Plano de Contas'!#REF!,10,FALSE))</f>
        <v/>
      </c>
    </row>
    <row r="112" spans="1:16" x14ac:dyDescent="0.25">
      <c r="A112" t="s">
        <v>218</v>
      </c>
      <c r="B112">
        <v>698</v>
      </c>
      <c r="C112" t="s">
        <v>219</v>
      </c>
      <c r="D112" s="10">
        <v>1719.34</v>
      </c>
      <c r="F112">
        <v>2.27</v>
      </c>
      <c r="H112">
        <v>966.94</v>
      </c>
      <c r="I112" t="s">
        <v>35</v>
      </c>
      <c r="J112">
        <v>754.67</v>
      </c>
      <c r="L112" s="48">
        <f t="shared" si="1"/>
        <v>754.67</v>
      </c>
      <c r="N112" s="6" t="str">
        <f>IF(ISERROR(VLOOKUP($A112,'Plano de Contas'!#REF!,8,FALSE)),"",VLOOKUP($A112,'Plano de Contas'!#REF!,8,FALSE))</f>
        <v/>
      </c>
      <c r="P112" s="6" t="str">
        <f>IF(ISERROR(VLOOKUP($A112,'Plano de Contas'!#REF!,10,FALSE)),"",VLOOKUP($A112,'Plano de Contas'!#REF!,10,FALSE))</f>
        <v/>
      </c>
    </row>
    <row r="113" spans="1:16" x14ac:dyDescent="0.25">
      <c r="A113" t="s">
        <v>220</v>
      </c>
      <c r="B113">
        <v>781</v>
      </c>
      <c r="C113" t="s">
        <v>221</v>
      </c>
      <c r="D113" s="10">
        <v>31375.05</v>
      </c>
      <c r="F113" s="10">
        <v>1892.08</v>
      </c>
      <c r="H113" s="10">
        <v>24756.29</v>
      </c>
      <c r="I113" t="s">
        <v>35</v>
      </c>
      <c r="J113" s="10">
        <v>8510.84</v>
      </c>
      <c r="L113" s="48">
        <f t="shared" si="1"/>
        <v>8510.84</v>
      </c>
      <c r="N113" s="6" t="str">
        <f>IF(ISERROR(VLOOKUP($A113,'Plano de Contas'!#REF!,8,FALSE)),"",VLOOKUP($A113,'Plano de Contas'!#REF!,8,FALSE))</f>
        <v/>
      </c>
      <c r="P113" s="6" t="str">
        <f>IF(ISERROR(VLOOKUP($A113,'Plano de Contas'!#REF!,10,FALSE)),"",VLOOKUP($A113,'Plano de Contas'!#REF!,10,FALSE))</f>
        <v/>
      </c>
    </row>
    <row r="114" spans="1:16" x14ac:dyDescent="0.25">
      <c r="A114" t="s">
        <v>222</v>
      </c>
      <c r="B114">
        <v>922</v>
      </c>
      <c r="C114" t="s">
        <v>223</v>
      </c>
      <c r="D114" s="10">
        <v>30680.06</v>
      </c>
      <c r="F114">
        <v>104.91</v>
      </c>
      <c r="H114" s="10">
        <v>26594.03</v>
      </c>
      <c r="I114" t="s">
        <v>35</v>
      </c>
      <c r="J114" s="10">
        <v>4190.9399999999996</v>
      </c>
      <c r="L114" s="1">
        <f t="shared" si="1"/>
        <v>4190.9399999999996</v>
      </c>
      <c r="N114" s="6" t="str">
        <f>IF(ISERROR(VLOOKUP($A114,'Plano de Contas'!#REF!,8,FALSE)),"",VLOOKUP($A114,'Plano de Contas'!#REF!,8,FALSE))</f>
        <v/>
      </c>
      <c r="P114" s="6" t="str">
        <f>IF(ISERROR(VLOOKUP($A114,'Plano de Contas'!#REF!,10,FALSE)),"",VLOOKUP($A114,'Plano de Contas'!#REF!,10,FALSE))</f>
        <v/>
      </c>
    </row>
    <row r="115" spans="1:16" x14ac:dyDescent="0.25">
      <c r="L115" s="1">
        <f t="shared" si="1"/>
        <v>0</v>
      </c>
      <c r="N115" s="6" t="str">
        <f>IF(ISERROR(VLOOKUP($A115,'Plano de Contas'!#REF!,8,FALSE)),"",VLOOKUP($A115,'Plano de Contas'!#REF!,8,FALSE))</f>
        <v/>
      </c>
      <c r="P115" s="6" t="str">
        <f>IF(ISERROR(VLOOKUP($A115,'Plano de Contas'!#REF!,10,FALSE)),"",VLOOKUP($A115,'Plano de Contas'!#REF!,10,FALSE))</f>
        <v/>
      </c>
    </row>
    <row r="116" spans="1:16" x14ac:dyDescent="0.25">
      <c r="A116" t="s">
        <v>224</v>
      </c>
      <c r="B116">
        <v>48</v>
      </c>
      <c r="C116" t="s">
        <v>225</v>
      </c>
      <c r="D116" s="10">
        <v>18784599.969999999</v>
      </c>
      <c r="F116" s="10">
        <v>25836.080000000002</v>
      </c>
      <c r="H116">
        <v>0</v>
      </c>
      <c r="J116" s="10">
        <v>18810436.050000001</v>
      </c>
      <c r="L116" s="1">
        <f t="shared" si="1"/>
        <v>18810436.050000001</v>
      </c>
      <c r="N116" s="6" t="str">
        <f>IF(ISERROR(VLOOKUP($A116,'Plano de Contas'!#REF!,8,FALSE)),"",VLOOKUP($A116,'Plano de Contas'!#REF!,8,FALSE))</f>
        <v/>
      </c>
      <c r="P116" s="6" t="str">
        <f>IF(ISERROR(VLOOKUP($A116,'Plano de Contas'!#REF!,10,FALSE)),"",VLOOKUP($A116,'Plano de Contas'!#REF!,10,FALSE))</f>
        <v/>
      </c>
    </row>
    <row r="117" spans="1:16" x14ac:dyDescent="0.25">
      <c r="A117" t="s">
        <v>226</v>
      </c>
      <c r="B117">
        <v>316</v>
      </c>
      <c r="C117" t="s">
        <v>227</v>
      </c>
      <c r="D117" s="10">
        <v>16913959.899999999</v>
      </c>
      <c r="F117">
        <v>0</v>
      </c>
      <c r="H117">
        <v>0</v>
      </c>
      <c r="J117" s="10">
        <v>16913959.899999999</v>
      </c>
      <c r="L117" s="48">
        <f t="shared" si="1"/>
        <v>16913959.899999999</v>
      </c>
      <c r="N117" s="6" t="str">
        <f>IF(ISERROR(VLOOKUP($A117,'Plano de Contas'!#REF!,8,FALSE)),"",VLOOKUP($A117,'Plano de Contas'!#REF!,8,FALSE))</f>
        <v/>
      </c>
      <c r="P117" s="6" t="str">
        <f>IF(ISERROR(VLOOKUP($A117,'Plano de Contas'!#REF!,10,FALSE)),"",VLOOKUP($A117,'Plano de Contas'!#REF!,10,FALSE))</f>
        <v/>
      </c>
    </row>
    <row r="118" spans="1:16" x14ac:dyDescent="0.25">
      <c r="A118" t="s">
        <v>228</v>
      </c>
      <c r="B118">
        <v>317</v>
      </c>
      <c r="C118" t="s">
        <v>229</v>
      </c>
      <c r="D118" s="10">
        <v>1870640.07</v>
      </c>
      <c r="F118" s="10">
        <v>25836.080000000002</v>
      </c>
      <c r="H118">
        <v>0</v>
      </c>
      <c r="J118" s="10">
        <v>1896476.15</v>
      </c>
      <c r="L118" s="48">
        <f t="shared" si="1"/>
        <v>1896476.15</v>
      </c>
      <c r="N118" s="6" t="str">
        <f>IF(ISERROR(VLOOKUP($A118,'Plano de Contas'!#REF!,8,FALSE)),"",VLOOKUP($A118,'Plano de Contas'!#REF!,8,FALSE))</f>
        <v/>
      </c>
      <c r="P118" s="6" t="str">
        <f>IF(ISERROR(VLOOKUP($A118,'Plano de Contas'!#REF!,10,FALSE)),"",VLOOKUP($A118,'Plano de Contas'!#REF!,10,FALSE))</f>
        <v/>
      </c>
    </row>
    <row r="119" spans="1:16" x14ac:dyDescent="0.25">
      <c r="L119" s="1">
        <f t="shared" si="1"/>
        <v>0</v>
      </c>
      <c r="N119" s="6" t="str">
        <f>IF(ISERROR(VLOOKUP($A119,'Plano de Contas'!#REF!,8,FALSE)),"",VLOOKUP($A119,'Plano de Contas'!#REF!,8,FALSE))</f>
        <v/>
      </c>
      <c r="P119" s="6" t="str">
        <f>IF(ISERROR(VLOOKUP($A119,'Plano de Contas'!#REF!,10,FALSE)),"",VLOOKUP($A119,'Plano de Contas'!#REF!,10,FALSE))</f>
        <v/>
      </c>
    </row>
    <row r="120" spans="1:16" x14ac:dyDescent="0.25">
      <c r="A120" t="s">
        <v>230</v>
      </c>
      <c r="B120">
        <v>50</v>
      </c>
      <c r="C120" t="s">
        <v>231</v>
      </c>
      <c r="D120" s="10">
        <v>739977.81</v>
      </c>
      <c r="F120" s="10">
        <v>2127.9</v>
      </c>
      <c r="H120" s="10">
        <v>117470.03</v>
      </c>
      <c r="I120" t="s">
        <v>35</v>
      </c>
      <c r="J120" s="10">
        <v>624635.68000000005</v>
      </c>
      <c r="L120" s="1">
        <f t="shared" si="1"/>
        <v>624635.68000000005</v>
      </c>
      <c r="N120" s="6" t="str">
        <f>IF(ISERROR(VLOOKUP($A120,'Plano de Contas'!#REF!,8,FALSE)),"",VLOOKUP($A120,'Plano de Contas'!#REF!,8,FALSE))</f>
        <v/>
      </c>
      <c r="P120" s="6" t="str">
        <f>IF(ISERROR(VLOOKUP($A120,'Plano de Contas'!#REF!,10,FALSE)),"",VLOOKUP($A120,'Plano de Contas'!#REF!,10,FALSE))</f>
        <v/>
      </c>
    </row>
    <row r="121" spans="1:16" x14ac:dyDescent="0.25">
      <c r="A121" t="s">
        <v>232</v>
      </c>
      <c r="B121">
        <v>427</v>
      </c>
      <c r="C121" t="s">
        <v>233</v>
      </c>
      <c r="D121" s="10">
        <v>117470.03</v>
      </c>
      <c r="F121">
        <v>0</v>
      </c>
      <c r="H121" s="10">
        <v>117470.03</v>
      </c>
      <c r="I121" t="s">
        <v>35</v>
      </c>
      <c r="J121">
        <v>0</v>
      </c>
      <c r="L121" s="1">
        <f t="shared" si="1"/>
        <v>0</v>
      </c>
      <c r="N121" s="6" t="str">
        <f>IF(ISERROR(VLOOKUP($A121,'Plano de Contas'!#REF!,8,FALSE)),"",VLOOKUP($A121,'Plano de Contas'!#REF!,8,FALSE))</f>
        <v/>
      </c>
      <c r="P121" s="6" t="str">
        <f>IF(ISERROR(VLOOKUP($A121,'Plano de Contas'!#REF!,10,FALSE)),"",VLOOKUP($A121,'Plano de Contas'!#REF!,10,FALSE))</f>
        <v/>
      </c>
    </row>
    <row r="122" spans="1:16" x14ac:dyDescent="0.25">
      <c r="A122" t="s">
        <v>234</v>
      </c>
      <c r="B122">
        <v>438</v>
      </c>
      <c r="C122" t="s">
        <v>235</v>
      </c>
      <c r="D122" s="10">
        <v>2127.9</v>
      </c>
      <c r="E122" t="s">
        <v>35</v>
      </c>
      <c r="F122" s="10">
        <v>2127.9</v>
      </c>
      <c r="H122">
        <v>0</v>
      </c>
      <c r="J122">
        <v>0</v>
      </c>
      <c r="L122" s="1">
        <f t="shared" si="1"/>
        <v>0</v>
      </c>
      <c r="N122" s="6" t="str">
        <f>IF(ISERROR(VLOOKUP($A122,'Plano de Contas'!#REF!,8,FALSE)),"",VLOOKUP($A122,'Plano de Contas'!#REF!,8,FALSE))</f>
        <v/>
      </c>
      <c r="P122" s="6" t="str">
        <f>IF(ISERROR(VLOOKUP($A122,'Plano de Contas'!#REF!,10,FALSE)),"",VLOOKUP($A122,'Plano de Contas'!#REF!,10,FALSE))</f>
        <v/>
      </c>
    </row>
    <row r="123" spans="1:16" x14ac:dyDescent="0.25">
      <c r="A123" t="s">
        <v>236</v>
      </c>
      <c r="B123">
        <v>539</v>
      </c>
      <c r="C123" t="s">
        <v>237</v>
      </c>
      <c r="D123" s="10">
        <v>329681.57</v>
      </c>
      <c r="F123">
        <v>0</v>
      </c>
      <c r="H123">
        <v>0</v>
      </c>
      <c r="J123" s="10">
        <v>329681.57</v>
      </c>
      <c r="L123" s="1">
        <f t="shared" si="1"/>
        <v>329681.57</v>
      </c>
      <c r="N123" s="6" t="str">
        <f>IF(ISERROR(VLOOKUP($A123,'Plano de Contas'!#REF!,8,FALSE)),"",VLOOKUP($A123,'Plano de Contas'!#REF!,8,FALSE))</f>
        <v/>
      </c>
      <c r="P123" s="6" t="str">
        <f>IF(ISERROR(VLOOKUP($A123,'Plano de Contas'!#REF!,10,FALSE)),"",VLOOKUP($A123,'Plano de Contas'!#REF!,10,FALSE))</f>
        <v/>
      </c>
    </row>
    <row r="124" spans="1:16" x14ac:dyDescent="0.25">
      <c r="A124" t="s">
        <v>238</v>
      </c>
      <c r="B124">
        <v>541</v>
      </c>
      <c r="C124" t="s">
        <v>239</v>
      </c>
      <c r="D124" s="10">
        <v>36420.910000000003</v>
      </c>
      <c r="F124">
        <v>0</v>
      </c>
      <c r="H124">
        <v>0</v>
      </c>
      <c r="J124" s="10">
        <v>36420.910000000003</v>
      </c>
      <c r="L124" s="1">
        <f t="shared" si="1"/>
        <v>36420.910000000003</v>
      </c>
      <c r="N124" s="6" t="str">
        <f>IF(ISERROR(VLOOKUP($A124,'Plano de Contas'!#REF!,8,FALSE)),"",VLOOKUP($A124,'Plano de Contas'!#REF!,8,FALSE))</f>
        <v/>
      </c>
      <c r="P124" s="6" t="str">
        <f>IF(ISERROR(VLOOKUP($A124,'Plano de Contas'!#REF!,10,FALSE)),"",VLOOKUP($A124,'Plano de Contas'!#REF!,10,FALSE))</f>
        <v/>
      </c>
    </row>
    <row r="125" spans="1:16" x14ac:dyDescent="0.25">
      <c r="A125" t="s">
        <v>240</v>
      </c>
      <c r="B125">
        <v>543</v>
      </c>
      <c r="C125" t="s">
        <v>241</v>
      </c>
      <c r="D125" s="10">
        <v>49441.29</v>
      </c>
      <c r="F125">
        <v>0</v>
      </c>
      <c r="H125">
        <v>0</v>
      </c>
      <c r="J125" s="10">
        <v>49441.29</v>
      </c>
      <c r="L125" s="1">
        <f t="shared" si="1"/>
        <v>49441.29</v>
      </c>
      <c r="N125" s="6" t="str">
        <f>IF(ISERROR(VLOOKUP($A125,'Plano de Contas'!#REF!,8,FALSE)),"",VLOOKUP($A125,'Plano de Contas'!#REF!,8,FALSE))</f>
        <v/>
      </c>
      <c r="P125" s="6" t="str">
        <f>IF(ISERROR(VLOOKUP($A125,'Plano de Contas'!#REF!,10,FALSE)),"",VLOOKUP($A125,'Plano de Contas'!#REF!,10,FALSE))</f>
        <v/>
      </c>
    </row>
    <row r="126" spans="1:16" x14ac:dyDescent="0.25">
      <c r="A126" t="s">
        <v>242</v>
      </c>
      <c r="B126">
        <v>559</v>
      </c>
      <c r="C126" t="s">
        <v>243</v>
      </c>
      <c r="D126" s="10">
        <v>209091.91</v>
      </c>
      <c r="F126">
        <v>0</v>
      </c>
      <c r="H126">
        <v>0</v>
      </c>
      <c r="J126" s="10">
        <v>209091.91</v>
      </c>
      <c r="L126" s="1">
        <f t="shared" si="1"/>
        <v>209091.91</v>
      </c>
      <c r="N126" s="6" t="str">
        <f>IF(ISERROR(VLOOKUP($A126,'Plano de Contas'!#REF!,8,FALSE)),"",VLOOKUP($A126,'Plano de Contas'!#REF!,8,FALSE))</f>
        <v/>
      </c>
      <c r="P126" s="6" t="str">
        <f>IF(ISERROR(VLOOKUP($A126,'Plano de Contas'!#REF!,10,FALSE)),"",VLOOKUP($A126,'Plano de Contas'!#REF!,10,FALSE))</f>
        <v/>
      </c>
    </row>
    <row r="127" spans="1:16" x14ac:dyDescent="0.25">
      <c r="L127" s="1">
        <f t="shared" si="1"/>
        <v>0</v>
      </c>
      <c r="N127" s="6" t="str">
        <f>IF(ISERROR(VLOOKUP($A127,'Plano de Contas'!#REF!,8,FALSE)),"",VLOOKUP($A127,'Plano de Contas'!#REF!,8,FALSE))</f>
        <v/>
      </c>
      <c r="P127" s="6" t="str">
        <f>IF(ISERROR(VLOOKUP($A127,'Plano de Contas'!#REF!,10,FALSE)),"",VLOOKUP($A127,'Plano de Contas'!#REF!,10,FALSE))</f>
        <v/>
      </c>
    </row>
    <row r="128" spans="1:16" x14ac:dyDescent="0.25">
      <c r="A128" t="s">
        <v>244</v>
      </c>
      <c r="B128">
        <v>51</v>
      </c>
      <c r="C128" t="s">
        <v>245</v>
      </c>
      <c r="D128" s="10">
        <v>615826.42000000004</v>
      </c>
      <c r="F128" s="10">
        <v>1583414.75</v>
      </c>
      <c r="H128" s="10">
        <v>2198042.94</v>
      </c>
      <c r="I128" t="s">
        <v>35</v>
      </c>
      <c r="J128" s="10">
        <v>1198.23</v>
      </c>
      <c r="L128" s="1">
        <f t="shared" si="1"/>
        <v>1198.23</v>
      </c>
      <c r="N128" s="6" t="str">
        <f>IF(ISERROR(VLOOKUP($A128,'Plano de Contas'!#REF!,8,FALSE)),"",VLOOKUP($A128,'Plano de Contas'!#REF!,8,FALSE))</f>
        <v/>
      </c>
      <c r="P128" s="6" t="str">
        <f>IF(ISERROR(VLOOKUP($A128,'Plano de Contas'!#REF!,10,FALSE)),"",VLOOKUP($A128,'Plano de Contas'!#REF!,10,FALSE))</f>
        <v/>
      </c>
    </row>
    <row r="129" spans="1:16" x14ac:dyDescent="0.25">
      <c r="L129" s="1">
        <f t="shared" si="1"/>
        <v>0</v>
      </c>
      <c r="N129" s="6" t="str">
        <f>IF(ISERROR(VLOOKUP($A129,'Plano de Contas'!#REF!,8,FALSE)),"",VLOOKUP($A129,'Plano de Contas'!#REF!,8,FALSE))</f>
        <v/>
      </c>
      <c r="P129" s="6" t="str">
        <f>IF(ISERROR(VLOOKUP($A129,'Plano de Contas'!#REF!,10,FALSE)),"",VLOOKUP($A129,'Plano de Contas'!#REF!,10,FALSE))</f>
        <v/>
      </c>
    </row>
    <row r="130" spans="1:16" x14ac:dyDescent="0.25">
      <c r="A130" t="s">
        <v>246</v>
      </c>
      <c r="B130">
        <v>53</v>
      </c>
      <c r="C130" t="s">
        <v>247</v>
      </c>
      <c r="D130" s="10">
        <v>615826.42000000004</v>
      </c>
      <c r="F130" s="10">
        <v>1583414.75</v>
      </c>
      <c r="H130" s="10">
        <v>2198042.94</v>
      </c>
      <c r="I130" t="s">
        <v>35</v>
      </c>
      <c r="J130" s="10">
        <v>1198.23</v>
      </c>
      <c r="L130" s="1">
        <f t="shared" si="1"/>
        <v>1198.23</v>
      </c>
      <c r="N130" s="6" t="str">
        <f>IF(ISERROR(VLOOKUP($A130,'Plano de Contas'!#REF!,8,FALSE)),"",VLOOKUP($A130,'Plano de Contas'!#REF!,8,FALSE))</f>
        <v/>
      </c>
      <c r="P130" s="6" t="str">
        <f>IF(ISERROR(VLOOKUP($A130,'Plano de Contas'!#REF!,10,FALSE)),"",VLOOKUP($A130,'Plano de Contas'!#REF!,10,FALSE))</f>
        <v/>
      </c>
    </row>
    <row r="131" spans="1:16" x14ac:dyDescent="0.25">
      <c r="A131" t="s">
        <v>248</v>
      </c>
      <c r="B131">
        <v>319</v>
      </c>
      <c r="C131" t="s">
        <v>249</v>
      </c>
      <c r="D131" s="10">
        <v>615826.42000000004</v>
      </c>
      <c r="F131" s="10">
        <v>1583414.75</v>
      </c>
      <c r="H131" s="10">
        <v>2198042.94</v>
      </c>
      <c r="I131" t="s">
        <v>35</v>
      </c>
      <c r="J131" s="10">
        <v>1198.23</v>
      </c>
      <c r="L131" s="1">
        <f t="shared" si="1"/>
        <v>1198.23</v>
      </c>
      <c r="N131" s="6" t="str">
        <f>IF(ISERROR(VLOOKUP($A131,'Plano de Contas'!#REF!,8,FALSE)),"",VLOOKUP($A131,'Plano de Contas'!#REF!,8,FALSE))</f>
        <v/>
      </c>
      <c r="P131" s="6" t="str">
        <f>IF(ISERROR(VLOOKUP($A131,'Plano de Contas'!#REF!,10,FALSE)),"",VLOOKUP($A131,'Plano de Contas'!#REF!,10,FALSE))</f>
        <v/>
      </c>
    </row>
    <row r="132" spans="1:16" x14ac:dyDescent="0.25">
      <c r="L132" s="1">
        <f t="shared" si="1"/>
        <v>0</v>
      </c>
      <c r="N132" s="6" t="str">
        <f>IF(ISERROR(VLOOKUP($A132,'Plano de Contas'!#REF!,8,FALSE)),"",VLOOKUP($A132,'Plano de Contas'!#REF!,8,FALSE))</f>
        <v/>
      </c>
      <c r="P132" s="6" t="str">
        <f>IF(ISERROR(VLOOKUP($A132,'Plano de Contas'!#REF!,10,FALSE)),"",VLOOKUP($A132,'Plano de Contas'!#REF!,10,FALSE))</f>
        <v/>
      </c>
    </row>
    <row r="133" spans="1:16" x14ac:dyDescent="0.25">
      <c r="A133" t="s">
        <v>250</v>
      </c>
      <c r="B133">
        <v>71</v>
      </c>
      <c r="C133" t="s">
        <v>251</v>
      </c>
      <c r="D133" s="10">
        <v>2728567048.6100001</v>
      </c>
      <c r="F133" s="10">
        <v>39605778.009999998</v>
      </c>
      <c r="H133" s="10">
        <v>1442737.96</v>
      </c>
      <c r="I133" t="s">
        <v>35</v>
      </c>
      <c r="J133" s="10">
        <v>2766730088.6599998</v>
      </c>
      <c r="L133" s="1">
        <f t="shared" si="1"/>
        <v>2766730088.6599998</v>
      </c>
      <c r="N133" s="6" t="str">
        <f>IF(ISERROR(VLOOKUP($A133,'Plano de Contas'!#REF!,8,FALSE)),"",VLOOKUP($A133,'Plano de Contas'!#REF!,8,FALSE))</f>
        <v/>
      </c>
      <c r="P133" s="6" t="str">
        <f>IF(ISERROR(VLOOKUP($A133,'Plano de Contas'!#REF!,10,FALSE)),"",VLOOKUP($A133,'Plano de Contas'!#REF!,10,FALSE))</f>
        <v/>
      </c>
    </row>
    <row r="134" spans="1:16" x14ac:dyDescent="0.25">
      <c r="L134" s="1">
        <f t="shared" si="1"/>
        <v>0</v>
      </c>
      <c r="N134" s="6" t="str">
        <f>IF(ISERROR(VLOOKUP($A134,'Plano de Contas'!#REF!,8,FALSE)),"",VLOOKUP($A134,'Plano de Contas'!#REF!,8,FALSE))</f>
        <v/>
      </c>
      <c r="P134" s="6" t="str">
        <f>IF(ISERROR(VLOOKUP($A134,'Plano de Contas'!#REF!,10,FALSE)),"",VLOOKUP($A134,'Plano de Contas'!#REF!,10,FALSE))</f>
        <v/>
      </c>
    </row>
    <row r="135" spans="1:16" x14ac:dyDescent="0.25">
      <c r="A135" t="s">
        <v>252</v>
      </c>
      <c r="B135">
        <v>837</v>
      </c>
      <c r="C135" t="s">
        <v>253</v>
      </c>
      <c r="D135" s="10">
        <v>13743864.630000001</v>
      </c>
      <c r="F135">
        <v>57.18</v>
      </c>
      <c r="H135">
        <v>677.99</v>
      </c>
      <c r="I135" t="s">
        <v>35</v>
      </c>
      <c r="J135" s="10">
        <v>13743243.82</v>
      </c>
      <c r="L135" s="1">
        <f t="shared" si="1"/>
        <v>13743243.82</v>
      </c>
      <c r="N135" s="6" t="str">
        <f>IF(ISERROR(VLOOKUP($A135,'Plano de Contas'!#REF!,8,FALSE)),"",VLOOKUP($A135,'Plano de Contas'!#REF!,8,FALSE))</f>
        <v/>
      </c>
      <c r="P135" s="6" t="str">
        <f>IF(ISERROR(VLOOKUP($A135,'Plano de Contas'!#REF!,10,FALSE)),"",VLOOKUP($A135,'Plano de Contas'!#REF!,10,FALSE))</f>
        <v/>
      </c>
    </row>
    <row r="136" spans="1:16" x14ac:dyDescent="0.25">
      <c r="L136" s="1">
        <f t="shared" ref="L136:L199" si="2">IF(K136="-",-J136,J136)</f>
        <v>0</v>
      </c>
      <c r="N136" s="6" t="str">
        <f>IF(ISERROR(VLOOKUP($A136,'Plano de Contas'!#REF!,8,FALSE)),"",VLOOKUP($A136,'Plano de Contas'!#REF!,8,FALSE))</f>
        <v/>
      </c>
      <c r="P136" s="6" t="str">
        <f>IF(ISERROR(VLOOKUP($A136,'Plano de Contas'!#REF!,10,FALSE)),"",VLOOKUP($A136,'Plano de Contas'!#REF!,10,FALSE))</f>
        <v/>
      </c>
    </row>
    <row r="137" spans="1:16" x14ac:dyDescent="0.25">
      <c r="A137" t="s">
        <v>254</v>
      </c>
      <c r="B137">
        <v>851</v>
      </c>
      <c r="C137" t="s">
        <v>255</v>
      </c>
      <c r="D137" s="10">
        <v>8881109.2100000009</v>
      </c>
      <c r="F137">
        <v>57.18</v>
      </c>
      <c r="H137">
        <v>677.99</v>
      </c>
      <c r="I137" t="s">
        <v>35</v>
      </c>
      <c r="J137" s="10">
        <v>8880488.4000000004</v>
      </c>
      <c r="L137" s="1">
        <f t="shared" si="2"/>
        <v>8880488.4000000004</v>
      </c>
      <c r="N137" s="6" t="str">
        <f>IF(ISERROR(VLOOKUP($A137,'Plano de Contas'!#REF!,8,FALSE)),"",VLOOKUP($A137,'Plano de Contas'!#REF!,8,FALSE))</f>
        <v/>
      </c>
      <c r="P137" s="6" t="str">
        <f>IF(ISERROR(VLOOKUP($A137,'Plano de Contas'!#REF!,10,FALSE)),"",VLOOKUP($A137,'Plano de Contas'!#REF!,10,FALSE))</f>
        <v/>
      </c>
    </row>
    <row r="138" spans="1:16" x14ac:dyDescent="0.25">
      <c r="A138" t="s">
        <v>256</v>
      </c>
      <c r="B138">
        <v>852</v>
      </c>
      <c r="C138" t="s">
        <v>257</v>
      </c>
      <c r="D138" s="10">
        <v>15969.4</v>
      </c>
      <c r="F138">
        <v>57.18</v>
      </c>
      <c r="H138">
        <v>677.99</v>
      </c>
      <c r="I138" t="s">
        <v>35</v>
      </c>
      <c r="J138" s="10">
        <v>15348.59</v>
      </c>
      <c r="L138" s="1">
        <f t="shared" si="2"/>
        <v>15348.59</v>
      </c>
      <c r="N138" s="6" t="str">
        <f>IF(ISERROR(VLOOKUP($A138,'Plano de Contas'!#REF!,8,FALSE)),"",VLOOKUP($A138,'Plano de Contas'!#REF!,8,FALSE))</f>
        <v/>
      </c>
      <c r="P138" s="6" t="str">
        <f>IF(ISERROR(VLOOKUP($A138,'Plano de Contas'!#REF!,10,FALSE)),"",VLOOKUP($A138,'Plano de Contas'!#REF!,10,FALSE))</f>
        <v/>
      </c>
    </row>
    <row r="139" spans="1:16" x14ac:dyDescent="0.25">
      <c r="A139" t="s">
        <v>258</v>
      </c>
      <c r="B139">
        <v>853</v>
      </c>
      <c r="C139" t="s">
        <v>259</v>
      </c>
      <c r="D139" s="10">
        <v>179076.71</v>
      </c>
      <c r="F139">
        <v>0</v>
      </c>
      <c r="H139">
        <v>0</v>
      </c>
      <c r="J139" s="10">
        <v>179076.71</v>
      </c>
      <c r="L139" s="1">
        <f t="shared" si="2"/>
        <v>179076.71</v>
      </c>
      <c r="N139" s="6" t="str">
        <f>IF(ISERROR(VLOOKUP($A139,'Plano de Contas'!#REF!,8,FALSE)),"",VLOOKUP($A139,'Plano de Contas'!#REF!,8,FALSE))</f>
        <v/>
      </c>
      <c r="P139" s="6" t="str">
        <f>IF(ISERROR(VLOOKUP($A139,'Plano de Contas'!#REF!,10,FALSE)),"",VLOOKUP($A139,'Plano de Contas'!#REF!,10,FALSE))</f>
        <v/>
      </c>
    </row>
    <row r="140" spans="1:16" x14ac:dyDescent="0.25">
      <c r="A140" t="s">
        <v>260</v>
      </c>
      <c r="B140">
        <v>941</v>
      </c>
      <c r="C140" t="s">
        <v>261</v>
      </c>
      <c r="D140" s="10">
        <v>8686063.0999999996</v>
      </c>
      <c r="F140">
        <v>0</v>
      </c>
      <c r="H140">
        <v>0</v>
      </c>
      <c r="J140" s="10">
        <v>8686063.0999999996</v>
      </c>
      <c r="L140" s="1">
        <f t="shared" si="2"/>
        <v>8686063.0999999996</v>
      </c>
      <c r="N140" s="6" t="str">
        <f>IF(ISERROR(VLOOKUP($A140,'Plano de Contas'!#REF!,8,FALSE)),"",VLOOKUP($A140,'Plano de Contas'!#REF!,8,FALSE))</f>
        <v/>
      </c>
      <c r="P140" s="6" t="str">
        <f>IF(ISERROR(VLOOKUP($A140,'Plano de Contas'!#REF!,10,FALSE)),"",VLOOKUP($A140,'Plano de Contas'!#REF!,10,FALSE))</f>
        <v/>
      </c>
    </row>
    <row r="141" spans="1:16" x14ac:dyDescent="0.25">
      <c r="L141" s="1">
        <f t="shared" si="2"/>
        <v>0</v>
      </c>
      <c r="N141" s="6" t="str">
        <f>IF(ISERROR(VLOOKUP($A141,'Plano de Contas'!#REF!,8,FALSE)),"",VLOOKUP($A141,'Plano de Contas'!#REF!,8,FALSE))</f>
        <v/>
      </c>
      <c r="P141" s="6" t="str">
        <f>IF(ISERROR(VLOOKUP($A141,'Plano de Contas'!#REF!,10,FALSE)),"",VLOOKUP($A141,'Plano de Contas'!#REF!,10,FALSE))</f>
        <v/>
      </c>
    </row>
    <row r="142" spans="1:16" x14ac:dyDescent="0.25">
      <c r="A142" t="s">
        <v>262</v>
      </c>
      <c r="B142">
        <v>854</v>
      </c>
      <c r="C142" t="s">
        <v>263</v>
      </c>
      <c r="D142" s="10">
        <v>1813.75</v>
      </c>
      <c r="F142">
        <v>0</v>
      </c>
      <c r="H142">
        <v>0</v>
      </c>
      <c r="J142" s="10">
        <v>1813.75</v>
      </c>
      <c r="L142" s="1">
        <f t="shared" si="2"/>
        <v>1813.75</v>
      </c>
      <c r="N142" s="6" t="str">
        <f>IF(ISERROR(VLOOKUP($A142,'Plano de Contas'!#REF!,8,FALSE)),"",VLOOKUP($A142,'Plano de Contas'!#REF!,8,FALSE))</f>
        <v/>
      </c>
      <c r="P142" s="6" t="str">
        <f>IF(ISERROR(VLOOKUP($A142,'Plano de Contas'!#REF!,10,FALSE)),"",VLOOKUP($A142,'Plano de Contas'!#REF!,10,FALSE))</f>
        <v/>
      </c>
    </row>
    <row r="143" spans="1:16" x14ac:dyDescent="0.25">
      <c r="A143" t="s">
        <v>264</v>
      </c>
      <c r="B143">
        <v>855</v>
      </c>
      <c r="C143" t="s">
        <v>265</v>
      </c>
      <c r="D143" s="10">
        <v>1533.94</v>
      </c>
      <c r="F143">
        <v>0</v>
      </c>
      <c r="H143">
        <v>0</v>
      </c>
      <c r="J143" s="10">
        <v>1533.94</v>
      </c>
      <c r="L143" s="1">
        <f t="shared" si="2"/>
        <v>1533.94</v>
      </c>
      <c r="N143" s="6" t="str">
        <f>IF(ISERROR(VLOOKUP($A143,'Plano de Contas'!#REF!,8,FALSE)),"",VLOOKUP($A143,'Plano de Contas'!#REF!,8,FALSE))</f>
        <v/>
      </c>
      <c r="P143" s="6" t="str">
        <f>IF(ISERROR(VLOOKUP($A143,'Plano de Contas'!#REF!,10,FALSE)),"",VLOOKUP($A143,'Plano de Contas'!#REF!,10,FALSE))</f>
        <v/>
      </c>
    </row>
    <row r="144" spans="1:16" x14ac:dyDescent="0.25">
      <c r="A144" t="s">
        <v>266</v>
      </c>
      <c r="B144">
        <v>856</v>
      </c>
      <c r="C144" t="s">
        <v>265</v>
      </c>
      <c r="D144">
        <v>279.81</v>
      </c>
      <c r="F144">
        <v>0</v>
      </c>
      <c r="H144">
        <v>0</v>
      </c>
      <c r="J144">
        <v>279.81</v>
      </c>
      <c r="L144" s="1">
        <f t="shared" si="2"/>
        <v>279.81</v>
      </c>
      <c r="N144" s="6" t="str">
        <f>IF(ISERROR(VLOOKUP($A144,'Plano de Contas'!#REF!,8,FALSE)),"",VLOOKUP($A144,'Plano de Contas'!#REF!,8,FALSE))</f>
        <v/>
      </c>
      <c r="P144" s="6" t="str">
        <f>IF(ISERROR(VLOOKUP($A144,'Plano de Contas'!#REF!,10,FALSE)),"",VLOOKUP($A144,'Plano de Contas'!#REF!,10,FALSE))</f>
        <v/>
      </c>
    </row>
    <row r="145" spans="1:16" x14ac:dyDescent="0.25">
      <c r="L145" s="1">
        <f t="shared" si="2"/>
        <v>0</v>
      </c>
      <c r="N145" s="6" t="str">
        <f>IF(ISERROR(VLOOKUP($A145,'Plano de Contas'!#REF!,8,FALSE)),"",VLOOKUP($A145,'Plano de Contas'!#REF!,8,FALSE))</f>
        <v/>
      </c>
      <c r="P145" s="6" t="str">
        <f>IF(ISERROR(VLOOKUP($A145,'Plano de Contas'!#REF!,10,FALSE)),"",VLOOKUP($A145,'Plano de Contas'!#REF!,10,FALSE))</f>
        <v/>
      </c>
    </row>
    <row r="146" spans="1:16" x14ac:dyDescent="0.25">
      <c r="A146" t="s">
        <v>267</v>
      </c>
      <c r="B146">
        <v>857</v>
      </c>
      <c r="C146" t="s">
        <v>268</v>
      </c>
      <c r="D146" s="10">
        <v>4851094.17</v>
      </c>
      <c r="F146">
        <v>0</v>
      </c>
      <c r="H146">
        <v>0</v>
      </c>
      <c r="J146" s="10">
        <v>4851094.17</v>
      </c>
      <c r="L146" s="1">
        <f t="shared" si="2"/>
        <v>4851094.17</v>
      </c>
      <c r="N146" s="6" t="str">
        <f>IF(ISERROR(VLOOKUP($A146,'Plano de Contas'!#REF!,8,FALSE)),"",VLOOKUP($A146,'Plano de Contas'!#REF!,8,FALSE))</f>
        <v/>
      </c>
      <c r="P146" s="6" t="str">
        <f>IF(ISERROR(VLOOKUP($A146,'Plano de Contas'!#REF!,10,FALSE)),"",VLOOKUP($A146,'Plano de Contas'!#REF!,10,FALSE))</f>
        <v/>
      </c>
    </row>
    <row r="147" spans="1:16" x14ac:dyDescent="0.25">
      <c r="A147" t="s">
        <v>269</v>
      </c>
      <c r="B147">
        <v>858</v>
      </c>
      <c r="C147" t="s">
        <v>270</v>
      </c>
      <c r="D147" s="10">
        <v>4181702.14</v>
      </c>
      <c r="F147">
        <v>0</v>
      </c>
      <c r="H147">
        <v>0</v>
      </c>
      <c r="J147" s="10">
        <v>4181702.14</v>
      </c>
      <c r="L147" s="1">
        <f t="shared" si="2"/>
        <v>4181702.14</v>
      </c>
      <c r="N147" s="6" t="str">
        <f>IF(ISERROR(VLOOKUP($A147,'Plano de Contas'!#REF!,8,FALSE)),"",VLOOKUP($A147,'Plano de Contas'!#REF!,8,FALSE))</f>
        <v/>
      </c>
      <c r="P147" s="6" t="str">
        <f>IF(ISERROR(VLOOKUP($A147,'Plano de Contas'!#REF!,10,FALSE)),"",VLOOKUP($A147,'Plano de Contas'!#REF!,10,FALSE))</f>
        <v/>
      </c>
    </row>
    <row r="148" spans="1:16" x14ac:dyDescent="0.25">
      <c r="A148" t="s">
        <v>271</v>
      </c>
      <c r="B148">
        <v>859</v>
      </c>
      <c r="C148" t="s">
        <v>272</v>
      </c>
      <c r="D148" s="10">
        <v>669392.03</v>
      </c>
      <c r="F148">
        <v>0</v>
      </c>
      <c r="H148">
        <v>0</v>
      </c>
      <c r="J148" s="10">
        <v>669392.03</v>
      </c>
      <c r="L148" s="1">
        <f t="shared" si="2"/>
        <v>669392.03</v>
      </c>
      <c r="N148" s="6" t="str">
        <f>IF(ISERROR(VLOOKUP($A148,'Plano de Contas'!#REF!,8,FALSE)),"",VLOOKUP($A148,'Plano de Contas'!#REF!,8,FALSE))</f>
        <v/>
      </c>
      <c r="P148" s="6" t="str">
        <f>IF(ISERROR(VLOOKUP($A148,'Plano de Contas'!#REF!,10,FALSE)),"",VLOOKUP($A148,'Plano de Contas'!#REF!,10,FALSE))</f>
        <v/>
      </c>
    </row>
    <row r="149" spans="1:16" x14ac:dyDescent="0.25">
      <c r="L149" s="1">
        <f t="shared" si="2"/>
        <v>0</v>
      </c>
      <c r="N149" s="6" t="str">
        <f>IF(ISERROR(VLOOKUP($A149,'Plano de Contas'!#REF!,8,FALSE)),"",VLOOKUP($A149,'Plano de Contas'!#REF!,8,FALSE))</f>
        <v/>
      </c>
      <c r="P149" s="6" t="str">
        <f>IF(ISERROR(VLOOKUP($A149,'Plano de Contas'!#REF!,10,FALSE)),"",VLOOKUP($A149,'Plano de Contas'!#REF!,10,FALSE))</f>
        <v/>
      </c>
    </row>
    <row r="150" spans="1:16" x14ac:dyDescent="0.25">
      <c r="A150" t="s">
        <v>273</v>
      </c>
      <c r="B150">
        <v>860</v>
      </c>
      <c r="C150" t="s">
        <v>274</v>
      </c>
      <c r="D150" s="10">
        <v>9433.5</v>
      </c>
      <c r="F150">
        <v>0</v>
      </c>
      <c r="H150">
        <v>0</v>
      </c>
      <c r="J150" s="10">
        <v>9433.5</v>
      </c>
      <c r="L150" s="1">
        <f t="shared" si="2"/>
        <v>9433.5</v>
      </c>
      <c r="N150" s="6" t="str">
        <f>IF(ISERROR(VLOOKUP($A150,'Plano de Contas'!#REF!,8,FALSE)),"",VLOOKUP($A150,'Plano de Contas'!#REF!,8,FALSE))</f>
        <v/>
      </c>
      <c r="P150" s="6" t="str">
        <f>IF(ISERROR(VLOOKUP($A150,'Plano de Contas'!#REF!,10,FALSE)),"",VLOOKUP($A150,'Plano de Contas'!#REF!,10,FALSE))</f>
        <v/>
      </c>
    </row>
    <row r="151" spans="1:16" x14ac:dyDescent="0.25">
      <c r="A151" t="s">
        <v>275</v>
      </c>
      <c r="B151">
        <v>861</v>
      </c>
      <c r="C151" t="s">
        <v>276</v>
      </c>
      <c r="D151" s="10">
        <v>9433.5</v>
      </c>
      <c r="F151">
        <v>0</v>
      </c>
      <c r="H151">
        <v>0</v>
      </c>
      <c r="J151" s="10">
        <v>9433.5</v>
      </c>
      <c r="L151" s="1">
        <f t="shared" si="2"/>
        <v>9433.5</v>
      </c>
      <c r="N151" s="6" t="str">
        <f>IF(ISERROR(VLOOKUP($A151,'Plano de Contas'!#REF!,8,FALSE)),"",VLOOKUP($A151,'Plano de Contas'!#REF!,8,FALSE))</f>
        <v/>
      </c>
      <c r="P151" s="6" t="str">
        <f>IF(ISERROR(VLOOKUP($A151,'Plano de Contas'!#REF!,10,FALSE)),"",VLOOKUP($A151,'Plano de Contas'!#REF!,10,FALSE))</f>
        <v/>
      </c>
    </row>
    <row r="152" spans="1:16" x14ac:dyDescent="0.25">
      <c r="L152" s="1">
        <f t="shared" si="2"/>
        <v>0</v>
      </c>
      <c r="N152" s="6" t="str">
        <f>IF(ISERROR(VLOOKUP($A152,'Plano de Contas'!#REF!,8,FALSE)),"",VLOOKUP($A152,'Plano de Contas'!#REF!,8,FALSE))</f>
        <v/>
      </c>
      <c r="P152" s="6" t="str">
        <f>IF(ISERROR(VLOOKUP($A152,'Plano de Contas'!#REF!,10,FALSE)),"",VLOOKUP($A152,'Plano de Contas'!#REF!,10,FALSE))</f>
        <v/>
      </c>
    </row>
    <row r="153" spans="1:16" x14ac:dyDescent="0.25">
      <c r="A153" t="s">
        <v>277</v>
      </c>
      <c r="B153">
        <v>863</v>
      </c>
      <c r="C153" t="s">
        <v>278</v>
      </c>
      <c r="D153">
        <v>414</v>
      </c>
      <c r="F153">
        <v>0</v>
      </c>
      <c r="H153">
        <v>0</v>
      </c>
      <c r="J153">
        <v>414</v>
      </c>
      <c r="L153" s="1">
        <f t="shared" si="2"/>
        <v>414</v>
      </c>
      <c r="N153" s="6" t="str">
        <f>IF(ISERROR(VLOOKUP($A153,'Plano de Contas'!#REF!,8,FALSE)),"",VLOOKUP($A153,'Plano de Contas'!#REF!,8,FALSE))</f>
        <v/>
      </c>
      <c r="P153" s="6" t="str">
        <f>IF(ISERROR(VLOOKUP($A153,'Plano de Contas'!#REF!,10,FALSE)),"",VLOOKUP($A153,'Plano de Contas'!#REF!,10,FALSE))</f>
        <v/>
      </c>
    </row>
    <row r="154" spans="1:16" x14ac:dyDescent="0.25">
      <c r="A154" t="s">
        <v>279</v>
      </c>
      <c r="B154">
        <v>864</v>
      </c>
      <c r="C154" t="s">
        <v>280</v>
      </c>
      <c r="D154">
        <v>414</v>
      </c>
      <c r="F154">
        <v>0</v>
      </c>
      <c r="H154">
        <v>0</v>
      </c>
      <c r="J154">
        <v>414</v>
      </c>
      <c r="L154" s="1">
        <f t="shared" si="2"/>
        <v>414</v>
      </c>
      <c r="N154" s="6" t="str">
        <f>IF(ISERROR(VLOOKUP($A154,'Plano de Contas'!#REF!,8,FALSE)),"",VLOOKUP($A154,'Plano de Contas'!#REF!,8,FALSE))</f>
        <v/>
      </c>
      <c r="P154" s="6" t="str">
        <f>IF(ISERROR(VLOOKUP($A154,'Plano de Contas'!#REF!,10,FALSE)),"",VLOOKUP($A154,'Plano de Contas'!#REF!,10,FALSE))</f>
        <v/>
      </c>
    </row>
    <row r="155" spans="1:16" x14ac:dyDescent="0.25">
      <c r="L155" s="1">
        <f t="shared" si="2"/>
        <v>0</v>
      </c>
      <c r="N155" s="6" t="str">
        <f>IF(ISERROR(VLOOKUP($A155,'Plano de Contas'!#REF!,8,FALSE)),"",VLOOKUP($A155,'Plano de Contas'!#REF!,8,FALSE))</f>
        <v/>
      </c>
      <c r="P155" s="6" t="str">
        <f>IF(ISERROR(VLOOKUP($A155,'Plano de Contas'!#REF!,10,FALSE)),"",VLOOKUP($A155,'Plano de Contas'!#REF!,10,FALSE))</f>
        <v/>
      </c>
    </row>
    <row r="156" spans="1:16" x14ac:dyDescent="0.25">
      <c r="A156" t="s">
        <v>281</v>
      </c>
      <c r="B156">
        <v>72</v>
      </c>
      <c r="C156" t="s">
        <v>282</v>
      </c>
      <c r="D156" s="10">
        <v>37574.050000000003</v>
      </c>
      <c r="F156">
        <v>0</v>
      </c>
      <c r="H156">
        <v>0</v>
      </c>
      <c r="J156" s="10">
        <v>37574.050000000003</v>
      </c>
      <c r="L156" s="1">
        <f t="shared" si="2"/>
        <v>37574.050000000003</v>
      </c>
      <c r="N156" s="6" t="str">
        <f>IF(ISERROR(VLOOKUP($A156,'Plano de Contas'!#REF!,8,FALSE)),"",VLOOKUP($A156,'Plano de Contas'!#REF!,8,FALSE))</f>
        <v/>
      </c>
      <c r="P156" s="6" t="str">
        <f>IF(ISERROR(VLOOKUP($A156,'Plano de Contas'!#REF!,10,FALSE)),"",VLOOKUP($A156,'Plano de Contas'!#REF!,10,FALSE))</f>
        <v/>
      </c>
    </row>
    <row r="157" spans="1:16" x14ac:dyDescent="0.25">
      <c r="L157" s="1">
        <f t="shared" si="2"/>
        <v>0</v>
      </c>
      <c r="N157" s="6" t="str">
        <f>IF(ISERROR(VLOOKUP($A157,'Plano de Contas'!#REF!,8,FALSE)),"",VLOOKUP($A157,'Plano de Contas'!#REF!,8,FALSE))</f>
        <v/>
      </c>
      <c r="P157" s="6" t="str">
        <f>IF(ISERROR(VLOOKUP($A157,'Plano de Contas'!#REF!,10,FALSE)),"",VLOOKUP($A157,'Plano de Contas'!#REF!,10,FALSE))</f>
        <v/>
      </c>
    </row>
    <row r="158" spans="1:16" x14ac:dyDescent="0.25">
      <c r="A158" t="s">
        <v>283</v>
      </c>
      <c r="B158">
        <v>73</v>
      </c>
      <c r="C158" t="s">
        <v>284</v>
      </c>
      <c r="D158" s="10">
        <v>36414.07</v>
      </c>
      <c r="F158">
        <v>0</v>
      </c>
      <c r="H158">
        <v>0</v>
      </c>
      <c r="J158" s="10">
        <v>36414.07</v>
      </c>
      <c r="L158" s="1">
        <f t="shared" si="2"/>
        <v>36414.07</v>
      </c>
      <c r="N158" s="6" t="str">
        <f>IF(ISERROR(VLOOKUP($A158,'Plano de Contas'!#REF!,8,FALSE)),"",VLOOKUP($A158,'Plano de Contas'!#REF!,8,FALSE))</f>
        <v/>
      </c>
      <c r="P158" s="6" t="str">
        <f>IF(ISERROR(VLOOKUP($A158,'Plano de Contas'!#REF!,10,FALSE)),"",VLOOKUP($A158,'Plano de Contas'!#REF!,10,FALSE))</f>
        <v/>
      </c>
    </row>
    <row r="159" spans="1:16" x14ac:dyDescent="0.25">
      <c r="A159" t="s">
        <v>285</v>
      </c>
      <c r="B159">
        <v>74</v>
      </c>
      <c r="C159" t="s">
        <v>286</v>
      </c>
      <c r="D159" s="10">
        <v>18164.060000000001</v>
      </c>
      <c r="F159">
        <v>0</v>
      </c>
      <c r="H159">
        <v>0</v>
      </c>
      <c r="J159" s="10">
        <v>18164.060000000001</v>
      </c>
      <c r="L159" s="1">
        <f t="shared" si="2"/>
        <v>18164.060000000001</v>
      </c>
      <c r="N159" s="6" t="str">
        <f>IF(ISERROR(VLOOKUP($A159,'Plano de Contas'!#REF!,8,FALSE)),"",VLOOKUP($A159,'Plano de Contas'!#REF!,8,FALSE))</f>
        <v/>
      </c>
      <c r="P159" s="6" t="str">
        <f>IF(ISERROR(VLOOKUP($A159,'Plano de Contas'!#REF!,10,FALSE)),"",VLOOKUP($A159,'Plano de Contas'!#REF!,10,FALSE))</f>
        <v/>
      </c>
    </row>
    <row r="160" spans="1:16" x14ac:dyDescent="0.25">
      <c r="A160" t="s">
        <v>287</v>
      </c>
      <c r="B160">
        <v>75</v>
      </c>
      <c r="C160" t="s">
        <v>288</v>
      </c>
      <c r="D160" s="10">
        <v>18250.009999999998</v>
      </c>
      <c r="F160">
        <v>0</v>
      </c>
      <c r="H160">
        <v>0</v>
      </c>
      <c r="J160" s="10">
        <v>18250.009999999998</v>
      </c>
      <c r="L160" s="1">
        <f t="shared" si="2"/>
        <v>18250.009999999998</v>
      </c>
      <c r="N160" s="6" t="str">
        <f>IF(ISERROR(VLOOKUP($A160,'Plano de Contas'!#REF!,8,FALSE)),"",VLOOKUP($A160,'Plano de Contas'!#REF!,8,FALSE))</f>
        <v/>
      </c>
      <c r="P160" s="6" t="str">
        <f>IF(ISERROR(VLOOKUP($A160,'Plano de Contas'!#REF!,10,FALSE)),"",VLOOKUP($A160,'Plano de Contas'!#REF!,10,FALSE))</f>
        <v/>
      </c>
    </row>
    <row r="161" spans="1:16" x14ac:dyDescent="0.25">
      <c r="L161" s="1">
        <f t="shared" si="2"/>
        <v>0</v>
      </c>
      <c r="N161" s="6" t="str">
        <f>IF(ISERROR(VLOOKUP($A161,'Plano de Contas'!#REF!,8,FALSE)),"",VLOOKUP($A161,'Plano de Contas'!#REF!,8,FALSE))</f>
        <v/>
      </c>
      <c r="P161" s="6" t="str">
        <f>IF(ISERROR(VLOOKUP($A161,'Plano de Contas'!#REF!,10,FALSE)),"",VLOOKUP($A161,'Plano de Contas'!#REF!,10,FALSE))</f>
        <v/>
      </c>
    </row>
    <row r="162" spans="1:16" x14ac:dyDescent="0.25">
      <c r="A162" t="s">
        <v>289</v>
      </c>
      <c r="B162">
        <v>76</v>
      </c>
      <c r="C162" t="s">
        <v>290</v>
      </c>
      <c r="D162" s="10">
        <v>3216838.38</v>
      </c>
      <c r="F162">
        <v>0</v>
      </c>
      <c r="H162">
        <v>0</v>
      </c>
      <c r="J162" s="10">
        <v>3216838.38</v>
      </c>
      <c r="L162" s="1">
        <f t="shared" si="2"/>
        <v>3216838.38</v>
      </c>
      <c r="N162" s="6" t="str">
        <f>IF(ISERROR(VLOOKUP($A162,'Plano de Contas'!#REF!,8,FALSE)),"",VLOOKUP($A162,'Plano de Contas'!#REF!,8,FALSE))</f>
        <v/>
      </c>
      <c r="P162" s="6" t="str">
        <f>IF(ISERROR(VLOOKUP($A162,'Plano de Contas'!#REF!,10,FALSE)),"",VLOOKUP($A162,'Plano de Contas'!#REF!,10,FALSE))</f>
        <v/>
      </c>
    </row>
    <row r="163" spans="1:16" x14ac:dyDescent="0.25">
      <c r="A163" t="s">
        <v>291</v>
      </c>
      <c r="B163">
        <v>77</v>
      </c>
      <c r="C163" t="s">
        <v>292</v>
      </c>
      <c r="D163" s="10">
        <v>3216418.22</v>
      </c>
      <c r="F163">
        <v>0</v>
      </c>
      <c r="H163">
        <v>0</v>
      </c>
      <c r="J163" s="10">
        <v>3216418.22</v>
      </c>
      <c r="L163" s="1">
        <f t="shared" si="2"/>
        <v>3216418.22</v>
      </c>
      <c r="N163" s="6" t="str">
        <f>IF(ISERROR(VLOOKUP($A163,'Plano de Contas'!#REF!,8,FALSE)),"",VLOOKUP($A163,'Plano de Contas'!#REF!,8,FALSE))</f>
        <v/>
      </c>
      <c r="P163" s="6" t="str">
        <f>IF(ISERROR(VLOOKUP($A163,'Plano de Contas'!#REF!,10,FALSE)),"",VLOOKUP($A163,'Plano de Contas'!#REF!,10,FALSE))</f>
        <v/>
      </c>
    </row>
    <row r="164" spans="1:16" x14ac:dyDescent="0.25">
      <c r="A164" t="s">
        <v>293</v>
      </c>
      <c r="B164">
        <v>78</v>
      </c>
      <c r="C164" t="s">
        <v>294</v>
      </c>
      <c r="D164">
        <v>420.16</v>
      </c>
      <c r="F164">
        <v>0</v>
      </c>
      <c r="H164">
        <v>0</v>
      </c>
      <c r="J164">
        <v>420.16</v>
      </c>
      <c r="L164" s="1">
        <f t="shared" si="2"/>
        <v>420.16</v>
      </c>
      <c r="N164" s="6" t="str">
        <f>IF(ISERROR(VLOOKUP($A164,'Plano de Contas'!#REF!,8,FALSE)),"",VLOOKUP($A164,'Plano de Contas'!#REF!,8,FALSE))</f>
        <v/>
      </c>
      <c r="P164" s="6" t="str">
        <f>IF(ISERROR(VLOOKUP($A164,'Plano de Contas'!#REF!,10,FALSE)),"",VLOOKUP($A164,'Plano de Contas'!#REF!,10,FALSE))</f>
        <v/>
      </c>
    </row>
    <row r="165" spans="1:16" x14ac:dyDescent="0.25">
      <c r="L165" s="1">
        <f t="shared" si="2"/>
        <v>0</v>
      </c>
      <c r="N165" s="6" t="str">
        <f>IF(ISERROR(VLOOKUP($A165,'Plano de Contas'!#REF!,8,FALSE)),"",VLOOKUP($A165,'Plano de Contas'!#REF!,8,FALSE))</f>
        <v/>
      </c>
      <c r="P165" s="6" t="str">
        <f>IF(ISERROR(VLOOKUP($A165,'Plano de Contas'!#REF!,10,FALSE)),"",VLOOKUP($A165,'Plano de Contas'!#REF!,10,FALSE))</f>
        <v/>
      </c>
    </row>
    <row r="166" spans="1:16" x14ac:dyDescent="0.25">
      <c r="A166" t="s">
        <v>295</v>
      </c>
      <c r="B166">
        <v>456</v>
      </c>
      <c r="C166" t="s">
        <v>296</v>
      </c>
      <c r="D166" s="10">
        <v>3215678.4</v>
      </c>
      <c r="E166" t="s">
        <v>35</v>
      </c>
      <c r="F166">
        <v>0</v>
      </c>
      <c r="H166">
        <v>0</v>
      </c>
      <c r="J166" s="10">
        <v>3215678.4</v>
      </c>
      <c r="K166" t="s">
        <v>35</v>
      </c>
      <c r="L166" s="1">
        <f t="shared" si="2"/>
        <v>-3215678.4</v>
      </c>
      <c r="N166" s="6" t="str">
        <f>IF(ISERROR(VLOOKUP($A166,'Plano de Contas'!#REF!,8,FALSE)),"",VLOOKUP($A166,'Plano de Contas'!#REF!,8,FALSE))</f>
        <v/>
      </c>
      <c r="P166" s="6" t="str">
        <f>IF(ISERROR(VLOOKUP($A166,'Plano de Contas'!#REF!,10,FALSE)),"",VLOOKUP($A166,'Plano de Contas'!#REF!,10,FALSE))</f>
        <v/>
      </c>
    </row>
    <row r="167" spans="1:16" x14ac:dyDescent="0.25">
      <c r="A167" t="s">
        <v>297</v>
      </c>
      <c r="B167">
        <v>457</v>
      </c>
      <c r="C167" t="s">
        <v>298</v>
      </c>
      <c r="D167" s="10">
        <v>3215678.4</v>
      </c>
      <c r="E167" t="s">
        <v>35</v>
      </c>
      <c r="F167">
        <v>0</v>
      </c>
      <c r="H167">
        <v>0</v>
      </c>
      <c r="J167" s="10">
        <v>3215678.4</v>
      </c>
      <c r="K167" t="s">
        <v>35</v>
      </c>
      <c r="L167" s="1">
        <f t="shared" si="2"/>
        <v>-3215678.4</v>
      </c>
      <c r="N167" s="6" t="str">
        <f>IF(ISERROR(VLOOKUP($A167,'Plano de Contas'!#REF!,8,FALSE)),"",VLOOKUP($A167,'Plano de Contas'!#REF!,8,FALSE))</f>
        <v/>
      </c>
      <c r="P167" s="6" t="str">
        <f>IF(ISERROR(VLOOKUP($A167,'Plano de Contas'!#REF!,10,FALSE)),"",VLOOKUP($A167,'Plano de Contas'!#REF!,10,FALSE))</f>
        <v/>
      </c>
    </row>
    <row r="168" spans="1:16" x14ac:dyDescent="0.25">
      <c r="L168" s="1">
        <f t="shared" si="2"/>
        <v>0</v>
      </c>
      <c r="N168" s="6" t="str">
        <f>IF(ISERROR(VLOOKUP($A168,'Plano de Contas'!#REF!,8,FALSE)),"",VLOOKUP($A168,'Plano de Contas'!#REF!,8,FALSE))</f>
        <v/>
      </c>
      <c r="P168" s="6" t="str">
        <f>IF(ISERROR(VLOOKUP($A168,'Plano de Contas'!#REF!,10,FALSE)),"",VLOOKUP($A168,'Plano de Contas'!#REF!,10,FALSE))</f>
        <v/>
      </c>
    </row>
    <row r="169" spans="1:16" x14ac:dyDescent="0.25">
      <c r="A169" t="s">
        <v>299</v>
      </c>
      <c r="B169">
        <v>79</v>
      </c>
      <c r="C169" t="s">
        <v>300</v>
      </c>
      <c r="D169" s="10">
        <v>2684973840.48</v>
      </c>
      <c r="F169" s="10">
        <v>39605720.829999998</v>
      </c>
      <c r="H169" s="10">
        <v>1412889.63</v>
      </c>
      <c r="I169" t="s">
        <v>35</v>
      </c>
      <c r="J169" s="10">
        <v>2723166671.6799998</v>
      </c>
      <c r="L169" s="1">
        <f t="shared" si="2"/>
        <v>2723166671.6799998</v>
      </c>
      <c r="N169" s="6" t="str">
        <f>IF(ISERROR(VLOOKUP($A169,'Plano de Contas'!#REF!,8,FALSE)),"",VLOOKUP($A169,'Plano de Contas'!#REF!,8,FALSE))</f>
        <v/>
      </c>
      <c r="P169" s="6" t="str">
        <f>IF(ISERROR(VLOOKUP($A169,'Plano de Contas'!#REF!,10,FALSE)),"",VLOOKUP($A169,'Plano de Contas'!#REF!,10,FALSE))</f>
        <v/>
      </c>
    </row>
    <row r="170" spans="1:16" x14ac:dyDescent="0.25">
      <c r="L170" s="1">
        <f t="shared" si="2"/>
        <v>0</v>
      </c>
      <c r="N170" s="6" t="str">
        <f>IF(ISERROR(VLOOKUP($A170,'Plano de Contas'!#REF!,8,FALSE)),"",VLOOKUP($A170,'Plano de Contas'!#REF!,8,FALSE))</f>
        <v/>
      </c>
      <c r="P170" s="6" t="str">
        <f>IF(ISERROR(VLOOKUP($A170,'Plano de Contas'!#REF!,10,FALSE)),"",VLOOKUP($A170,'Plano de Contas'!#REF!,10,FALSE))</f>
        <v/>
      </c>
    </row>
    <row r="171" spans="1:16" x14ac:dyDescent="0.25">
      <c r="A171" t="s">
        <v>301</v>
      </c>
      <c r="B171">
        <v>80</v>
      </c>
      <c r="C171" t="s">
        <v>302</v>
      </c>
      <c r="D171" s="10">
        <v>930027422.75</v>
      </c>
      <c r="F171" s="10">
        <v>3287228.37</v>
      </c>
      <c r="H171">
        <v>0</v>
      </c>
      <c r="J171" s="10">
        <v>933314651.12</v>
      </c>
      <c r="L171" s="1">
        <f t="shared" si="2"/>
        <v>933314651.12</v>
      </c>
      <c r="N171" s="6" t="str">
        <f>IF(ISERROR(VLOOKUP($A171,'Plano de Contas'!#REF!,8,FALSE)),"",VLOOKUP($A171,'Plano de Contas'!#REF!,8,FALSE))</f>
        <v/>
      </c>
      <c r="P171" s="6" t="str">
        <f>IF(ISERROR(VLOOKUP($A171,'Plano de Contas'!#REF!,10,FALSE)),"",VLOOKUP($A171,'Plano de Contas'!#REF!,10,FALSE))</f>
        <v/>
      </c>
    </row>
    <row r="172" spans="1:16" x14ac:dyDescent="0.25">
      <c r="A172" t="s">
        <v>303</v>
      </c>
      <c r="B172">
        <v>82</v>
      </c>
      <c r="C172" t="s">
        <v>193</v>
      </c>
      <c r="D172" s="10">
        <v>53003591.549999997</v>
      </c>
      <c r="F172" s="10">
        <v>2272882.2799999998</v>
      </c>
      <c r="H172">
        <v>0</v>
      </c>
      <c r="J172" s="10">
        <v>55276473.829999998</v>
      </c>
      <c r="L172" s="1">
        <f t="shared" si="2"/>
        <v>55276473.829999998</v>
      </c>
      <c r="N172" s="6" t="str">
        <f>IF(ISERROR(VLOOKUP($A172,'Plano de Contas'!#REF!,8,FALSE)),"",VLOOKUP($A172,'Plano de Contas'!#REF!,8,FALSE))</f>
        <v/>
      </c>
      <c r="P172" s="6" t="str">
        <f>IF(ISERROR(VLOOKUP($A172,'Plano de Contas'!#REF!,10,FALSE)),"",VLOOKUP($A172,'Plano de Contas'!#REF!,10,FALSE))</f>
        <v/>
      </c>
    </row>
    <row r="173" spans="1:16" x14ac:dyDescent="0.25">
      <c r="A173" t="s">
        <v>304</v>
      </c>
      <c r="B173">
        <v>83</v>
      </c>
      <c r="C173" t="s">
        <v>305</v>
      </c>
      <c r="D173" s="10">
        <v>4642772.51</v>
      </c>
      <c r="F173">
        <v>0</v>
      </c>
      <c r="H173">
        <v>0</v>
      </c>
      <c r="J173" s="10">
        <v>4642772.51</v>
      </c>
      <c r="L173" s="1">
        <f t="shared" si="2"/>
        <v>4642772.51</v>
      </c>
      <c r="N173" s="6" t="str">
        <f>IF(ISERROR(VLOOKUP($A173,'Plano de Contas'!#REF!,8,FALSE)),"",VLOOKUP($A173,'Plano de Contas'!#REF!,8,FALSE))</f>
        <v/>
      </c>
      <c r="P173" s="6" t="str">
        <f>IF(ISERROR(VLOOKUP($A173,'Plano de Contas'!#REF!,10,FALSE)),"",VLOOKUP($A173,'Plano de Contas'!#REF!,10,FALSE))</f>
        <v/>
      </c>
    </row>
    <row r="174" spans="1:16" x14ac:dyDescent="0.25">
      <c r="A174" t="s">
        <v>306</v>
      </c>
      <c r="B174">
        <v>84</v>
      </c>
      <c r="C174" t="s">
        <v>307</v>
      </c>
      <c r="D174" s="10">
        <v>102915333.89</v>
      </c>
      <c r="F174">
        <v>0</v>
      </c>
      <c r="H174">
        <v>0</v>
      </c>
      <c r="J174" s="10">
        <v>102915333.89</v>
      </c>
      <c r="L174" s="1">
        <f t="shared" si="2"/>
        <v>102915333.89</v>
      </c>
      <c r="N174" s="6" t="str">
        <f>IF(ISERROR(VLOOKUP($A174,'Plano de Contas'!#REF!,8,FALSE)),"",VLOOKUP($A174,'Plano de Contas'!#REF!,8,FALSE))</f>
        <v/>
      </c>
      <c r="P174" s="6" t="str">
        <f>IF(ISERROR(VLOOKUP($A174,'Plano de Contas'!#REF!,10,FALSE)),"",VLOOKUP($A174,'Plano de Contas'!#REF!,10,FALSE))</f>
        <v/>
      </c>
    </row>
    <row r="175" spans="1:16" x14ac:dyDescent="0.25">
      <c r="A175" t="s">
        <v>308</v>
      </c>
      <c r="B175">
        <v>85</v>
      </c>
      <c r="C175" t="s">
        <v>309</v>
      </c>
      <c r="D175" s="10">
        <v>10042462.15</v>
      </c>
      <c r="F175">
        <v>0</v>
      </c>
      <c r="H175">
        <v>0</v>
      </c>
      <c r="J175" s="10">
        <v>10042462.15</v>
      </c>
      <c r="L175" s="1">
        <f t="shared" si="2"/>
        <v>10042462.15</v>
      </c>
      <c r="N175" s="6" t="str">
        <f>IF(ISERROR(VLOOKUP($A175,'Plano de Contas'!#REF!,8,FALSE)),"",VLOOKUP($A175,'Plano de Contas'!#REF!,8,FALSE))</f>
        <v/>
      </c>
      <c r="P175" s="6" t="str">
        <f>IF(ISERROR(VLOOKUP($A175,'Plano de Contas'!#REF!,10,FALSE)),"",VLOOKUP($A175,'Plano de Contas'!#REF!,10,FALSE))</f>
        <v/>
      </c>
    </row>
    <row r="176" spans="1:16" x14ac:dyDescent="0.25">
      <c r="A176" t="s">
        <v>310</v>
      </c>
      <c r="B176">
        <v>86</v>
      </c>
      <c r="C176" t="s">
        <v>311</v>
      </c>
      <c r="D176" s="10">
        <v>800636.5</v>
      </c>
      <c r="F176">
        <v>0</v>
      </c>
      <c r="H176">
        <v>0</v>
      </c>
      <c r="J176" s="10">
        <v>800636.5</v>
      </c>
      <c r="L176" s="1">
        <f t="shared" si="2"/>
        <v>800636.5</v>
      </c>
      <c r="N176" s="6" t="str">
        <f>IF(ISERROR(VLOOKUP($A176,'Plano de Contas'!#REF!,8,FALSE)),"",VLOOKUP($A176,'Plano de Contas'!#REF!,8,FALSE))</f>
        <v/>
      </c>
      <c r="P176" s="6" t="str">
        <f>IF(ISERROR(VLOOKUP($A176,'Plano de Contas'!#REF!,10,FALSE)),"",VLOOKUP($A176,'Plano de Contas'!#REF!,10,FALSE))</f>
        <v/>
      </c>
    </row>
    <row r="177" spans="1:16" x14ac:dyDescent="0.25">
      <c r="A177" t="s">
        <v>312</v>
      </c>
      <c r="B177">
        <v>87</v>
      </c>
      <c r="C177" t="s">
        <v>313</v>
      </c>
      <c r="D177" s="10">
        <v>6350643.9900000002</v>
      </c>
      <c r="F177">
        <v>0</v>
      </c>
      <c r="H177">
        <v>0</v>
      </c>
      <c r="J177" s="10">
        <v>6350643.9900000002</v>
      </c>
      <c r="L177" s="1">
        <f t="shared" si="2"/>
        <v>6350643.9900000002</v>
      </c>
      <c r="N177" s="6" t="str">
        <f>IF(ISERROR(VLOOKUP($A177,'Plano de Contas'!#REF!,8,FALSE)),"",VLOOKUP($A177,'Plano de Contas'!#REF!,8,FALSE))</f>
        <v/>
      </c>
      <c r="P177" s="6" t="str">
        <f>IF(ISERROR(VLOOKUP($A177,'Plano de Contas'!#REF!,10,FALSE)),"",VLOOKUP($A177,'Plano de Contas'!#REF!,10,FALSE))</f>
        <v/>
      </c>
    </row>
    <row r="178" spans="1:16" x14ac:dyDescent="0.25">
      <c r="A178" t="s">
        <v>314</v>
      </c>
      <c r="B178">
        <v>460</v>
      </c>
      <c r="C178" t="s">
        <v>315</v>
      </c>
      <c r="D178" s="10">
        <v>1867936.49</v>
      </c>
      <c r="F178">
        <v>0</v>
      </c>
      <c r="H178">
        <v>0</v>
      </c>
      <c r="J178" s="10">
        <v>1867936.49</v>
      </c>
      <c r="L178" s="1">
        <f t="shared" si="2"/>
        <v>1867936.49</v>
      </c>
      <c r="N178" s="6" t="str">
        <f>IF(ISERROR(VLOOKUP($A178,'Plano de Contas'!#REF!,8,FALSE)),"",VLOOKUP($A178,'Plano de Contas'!#REF!,8,FALSE))</f>
        <v/>
      </c>
      <c r="P178" s="6" t="str">
        <f>IF(ISERROR(VLOOKUP($A178,'Plano de Contas'!#REF!,10,FALSE)),"",VLOOKUP($A178,'Plano de Contas'!#REF!,10,FALSE))</f>
        <v/>
      </c>
    </row>
    <row r="179" spans="1:16" x14ac:dyDescent="0.25">
      <c r="A179" t="s">
        <v>316</v>
      </c>
      <c r="B179">
        <v>464</v>
      </c>
      <c r="C179" t="s">
        <v>317</v>
      </c>
      <c r="D179" s="10">
        <v>541995.80000000005</v>
      </c>
      <c r="F179" s="10">
        <v>5599.54</v>
      </c>
      <c r="H179">
        <v>0</v>
      </c>
      <c r="J179" s="10">
        <v>547595.34</v>
      </c>
      <c r="L179" s="1">
        <f t="shared" si="2"/>
        <v>547595.34</v>
      </c>
      <c r="N179" s="6" t="str">
        <f>IF(ISERROR(VLOOKUP($A179,'Plano de Contas'!#REF!,8,FALSE)),"",VLOOKUP($A179,'Plano de Contas'!#REF!,8,FALSE))</f>
        <v/>
      </c>
      <c r="P179" s="6" t="str">
        <f>IF(ISERROR(VLOOKUP($A179,'Plano de Contas'!#REF!,10,FALSE)),"",VLOOKUP($A179,'Plano de Contas'!#REF!,10,FALSE))</f>
        <v/>
      </c>
    </row>
    <row r="180" spans="1:16" x14ac:dyDescent="0.25">
      <c r="A180" t="s">
        <v>318</v>
      </c>
      <c r="B180">
        <v>617</v>
      </c>
      <c r="C180" t="s">
        <v>319</v>
      </c>
      <c r="D180" s="10">
        <v>99588124.569999993</v>
      </c>
      <c r="F180">
        <v>0</v>
      </c>
      <c r="H180">
        <v>0</v>
      </c>
      <c r="J180" s="10">
        <v>99588124.569999993</v>
      </c>
      <c r="L180" s="1">
        <f t="shared" si="2"/>
        <v>99588124.569999993</v>
      </c>
      <c r="N180" s="6" t="str">
        <f>IF(ISERROR(VLOOKUP($A180,'Plano de Contas'!#REF!,8,FALSE)),"",VLOOKUP($A180,'Plano de Contas'!#REF!,8,FALSE))</f>
        <v/>
      </c>
      <c r="P180" s="6" t="str">
        <f>IF(ISERROR(VLOOKUP($A180,'Plano de Contas'!#REF!,10,FALSE)),"",VLOOKUP($A180,'Plano de Contas'!#REF!,10,FALSE))</f>
        <v/>
      </c>
    </row>
    <row r="181" spans="1:16" x14ac:dyDescent="0.25">
      <c r="A181" t="s">
        <v>320</v>
      </c>
      <c r="B181">
        <v>618</v>
      </c>
      <c r="C181" t="s">
        <v>321</v>
      </c>
      <c r="D181" s="10">
        <v>11065347.17</v>
      </c>
      <c r="F181">
        <v>0</v>
      </c>
      <c r="H181">
        <v>0</v>
      </c>
      <c r="J181" s="10">
        <v>11065347.17</v>
      </c>
      <c r="L181" s="1">
        <f t="shared" si="2"/>
        <v>11065347.17</v>
      </c>
      <c r="N181" s="6" t="str">
        <f>IF(ISERROR(VLOOKUP($A181,'Plano de Contas'!#REF!,8,FALSE)),"",VLOOKUP($A181,'Plano de Contas'!#REF!,8,FALSE))</f>
        <v/>
      </c>
      <c r="P181" s="6" t="str">
        <f>IF(ISERROR(VLOOKUP($A181,'Plano de Contas'!#REF!,10,FALSE)),"",VLOOKUP($A181,'Plano de Contas'!#REF!,10,FALSE))</f>
        <v/>
      </c>
    </row>
    <row r="182" spans="1:16" x14ac:dyDescent="0.25">
      <c r="A182" t="s">
        <v>322</v>
      </c>
      <c r="B182">
        <v>691</v>
      </c>
      <c r="C182" t="s">
        <v>323</v>
      </c>
      <c r="D182" s="10">
        <v>60904.55</v>
      </c>
      <c r="F182">
        <v>0</v>
      </c>
      <c r="H182">
        <v>0</v>
      </c>
      <c r="J182" s="10">
        <v>60904.55</v>
      </c>
      <c r="L182" s="1">
        <f t="shared" si="2"/>
        <v>60904.55</v>
      </c>
      <c r="N182" s="6" t="str">
        <f>IF(ISERROR(VLOOKUP($A182,'Plano de Contas'!#REF!,8,FALSE)),"",VLOOKUP($A182,'Plano de Contas'!#REF!,8,FALSE))</f>
        <v/>
      </c>
      <c r="P182" s="6" t="str">
        <f>IF(ISERROR(VLOOKUP($A182,'Plano de Contas'!#REF!,10,FALSE)),"",VLOOKUP($A182,'Plano de Contas'!#REF!,10,FALSE))</f>
        <v/>
      </c>
    </row>
    <row r="183" spans="1:16" x14ac:dyDescent="0.25">
      <c r="A183" t="s">
        <v>324</v>
      </c>
      <c r="B183">
        <v>692</v>
      </c>
      <c r="C183" t="s">
        <v>325</v>
      </c>
      <c r="D183" s="10">
        <v>14900</v>
      </c>
      <c r="F183">
        <v>0</v>
      </c>
      <c r="H183">
        <v>0</v>
      </c>
      <c r="J183" s="10">
        <v>14900</v>
      </c>
      <c r="L183" s="1">
        <f t="shared" si="2"/>
        <v>14900</v>
      </c>
      <c r="N183" s="6" t="str">
        <f>IF(ISERROR(VLOOKUP($A183,'Plano de Contas'!#REF!,8,FALSE)),"",VLOOKUP($A183,'Plano de Contas'!#REF!,8,FALSE))</f>
        <v/>
      </c>
      <c r="P183" s="6" t="str">
        <f>IF(ISERROR(VLOOKUP($A183,'Plano de Contas'!#REF!,10,FALSE)),"",VLOOKUP($A183,'Plano de Contas'!#REF!,10,FALSE))</f>
        <v/>
      </c>
    </row>
    <row r="184" spans="1:16" x14ac:dyDescent="0.25">
      <c r="A184" t="s">
        <v>326</v>
      </c>
      <c r="B184">
        <v>744</v>
      </c>
      <c r="C184" t="s">
        <v>327</v>
      </c>
      <c r="D184" s="10">
        <v>16760854.310000001</v>
      </c>
      <c r="F184">
        <v>0</v>
      </c>
      <c r="H184">
        <v>0</v>
      </c>
      <c r="J184" s="10">
        <v>16760854.310000001</v>
      </c>
      <c r="L184" s="1">
        <f t="shared" si="2"/>
        <v>16760854.310000001</v>
      </c>
      <c r="N184" s="6" t="str">
        <f>IF(ISERROR(VLOOKUP($A184,'Plano de Contas'!#REF!,8,FALSE)),"",VLOOKUP($A184,'Plano de Contas'!#REF!,8,FALSE))</f>
        <v/>
      </c>
      <c r="P184" s="6" t="str">
        <f>IF(ISERROR(VLOOKUP($A184,'Plano de Contas'!#REF!,10,FALSE)),"",VLOOKUP($A184,'Plano de Contas'!#REF!,10,FALSE))</f>
        <v/>
      </c>
    </row>
    <row r="185" spans="1:16" x14ac:dyDescent="0.25">
      <c r="A185" t="s">
        <v>328</v>
      </c>
      <c r="B185">
        <v>745</v>
      </c>
      <c r="C185" t="s">
        <v>329</v>
      </c>
      <c r="D185" s="10">
        <v>60074480.219999999</v>
      </c>
      <c r="F185">
        <v>0</v>
      </c>
      <c r="H185">
        <v>0</v>
      </c>
      <c r="J185" s="10">
        <v>60074480.219999999</v>
      </c>
      <c r="L185" s="1">
        <f t="shared" si="2"/>
        <v>60074480.219999999</v>
      </c>
      <c r="N185" s="6" t="str">
        <f>IF(ISERROR(VLOOKUP($A185,'Plano de Contas'!#REF!,8,FALSE)),"",VLOOKUP($A185,'Plano de Contas'!#REF!,8,FALSE))</f>
        <v/>
      </c>
      <c r="P185" s="6" t="str">
        <f>IF(ISERROR(VLOOKUP($A185,'Plano de Contas'!#REF!,10,FALSE)),"",VLOOKUP($A185,'Plano de Contas'!#REF!,10,FALSE))</f>
        <v/>
      </c>
    </row>
    <row r="186" spans="1:16" x14ac:dyDescent="0.25">
      <c r="A186" t="s">
        <v>330</v>
      </c>
      <c r="B186">
        <v>756</v>
      </c>
      <c r="C186" t="s">
        <v>331</v>
      </c>
      <c r="D186" s="10">
        <v>110029955.69</v>
      </c>
      <c r="F186">
        <v>0</v>
      </c>
      <c r="H186">
        <v>0</v>
      </c>
      <c r="J186" s="10">
        <v>110029955.69</v>
      </c>
      <c r="L186" s="1">
        <f t="shared" si="2"/>
        <v>110029955.69</v>
      </c>
      <c r="N186" s="6" t="str">
        <f>IF(ISERROR(VLOOKUP($A186,'Plano de Contas'!#REF!,8,FALSE)),"",VLOOKUP($A186,'Plano de Contas'!#REF!,8,FALSE))</f>
        <v/>
      </c>
      <c r="P186" s="6" t="str">
        <f>IF(ISERROR(VLOOKUP($A186,'Plano de Contas'!#REF!,10,FALSE)),"",VLOOKUP($A186,'Plano de Contas'!#REF!,10,FALSE))</f>
        <v/>
      </c>
    </row>
    <row r="187" spans="1:16" x14ac:dyDescent="0.25">
      <c r="A187" t="s">
        <v>332</v>
      </c>
      <c r="B187">
        <v>764</v>
      </c>
      <c r="C187" t="s">
        <v>333</v>
      </c>
      <c r="D187" s="10">
        <v>144772.85999999999</v>
      </c>
      <c r="F187">
        <v>0</v>
      </c>
      <c r="H187">
        <v>0</v>
      </c>
      <c r="J187" s="10">
        <v>144772.85999999999</v>
      </c>
      <c r="L187" s="1">
        <f t="shared" si="2"/>
        <v>144772.85999999999</v>
      </c>
      <c r="N187" s="6" t="str">
        <f>IF(ISERROR(VLOOKUP($A187,'Plano de Contas'!#REF!,8,FALSE)),"",VLOOKUP($A187,'Plano de Contas'!#REF!,8,FALSE))</f>
        <v/>
      </c>
      <c r="P187" s="6" t="str">
        <f>IF(ISERROR(VLOOKUP($A187,'Plano de Contas'!#REF!,10,FALSE)),"",VLOOKUP($A187,'Plano de Contas'!#REF!,10,FALSE))</f>
        <v/>
      </c>
    </row>
    <row r="188" spans="1:16" x14ac:dyDescent="0.25">
      <c r="A188" t="s">
        <v>334</v>
      </c>
      <c r="B188">
        <v>766</v>
      </c>
      <c r="C188" t="s">
        <v>335</v>
      </c>
      <c r="D188" s="10">
        <v>384841876.51999998</v>
      </c>
      <c r="F188">
        <v>0</v>
      </c>
      <c r="H188">
        <v>0</v>
      </c>
      <c r="J188" s="10">
        <v>384841876.51999998</v>
      </c>
      <c r="L188" s="1">
        <f t="shared" si="2"/>
        <v>384841876.51999998</v>
      </c>
      <c r="N188" s="6" t="str">
        <f>IF(ISERROR(VLOOKUP($A188,'Plano de Contas'!#REF!,8,FALSE)),"",VLOOKUP($A188,'Plano de Contas'!#REF!,8,FALSE))</f>
        <v/>
      </c>
      <c r="P188" s="6" t="str">
        <f>IF(ISERROR(VLOOKUP($A188,'Plano de Contas'!#REF!,10,FALSE)),"",VLOOKUP($A188,'Plano de Contas'!#REF!,10,FALSE))</f>
        <v/>
      </c>
    </row>
    <row r="189" spans="1:16" x14ac:dyDescent="0.25">
      <c r="A189" t="s">
        <v>336</v>
      </c>
      <c r="B189">
        <v>792</v>
      </c>
      <c r="C189" t="s">
        <v>337</v>
      </c>
      <c r="D189" s="10">
        <v>20510552.210000001</v>
      </c>
      <c r="F189">
        <v>0</v>
      </c>
      <c r="H189">
        <v>0</v>
      </c>
      <c r="J189" s="10">
        <v>20510552.210000001</v>
      </c>
      <c r="L189" s="1">
        <f t="shared" si="2"/>
        <v>20510552.210000001</v>
      </c>
      <c r="N189" s="6" t="str">
        <f>IF(ISERROR(VLOOKUP($A189,'Plano de Contas'!#REF!,8,FALSE)),"",VLOOKUP($A189,'Plano de Contas'!#REF!,8,FALSE))</f>
        <v/>
      </c>
      <c r="P189" s="6" t="str">
        <f>IF(ISERROR(VLOOKUP($A189,'Plano de Contas'!#REF!,10,FALSE)),"",VLOOKUP($A189,'Plano de Contas'!#REF!,10,FALSE))</f>
        <v/>
      </c>
    </row>
    <row r="190" spans="1:16" x14ac:dyDescent="0.25">
      <c r="A190" t="s">
        <v>338</v>
      </c>
      <c r="B190">
        <v>795</v>
      </c>
      <c r="C190" t="s">
        <v>339</v>
      </c>
      <c r="D190" s="10">
        <v>911251.89</v>
      </c>
      <c r="F190">
        <v>0</v>
      </c>
      <c r="H190">
        <v>0</v>
      </c>
      <c r="J190" s="10">
        <v>911251.89</v>
      </c>
      <c r="L190" s="1">
        <f t="shared" si="2"/>
        <v>911251.89</v>
      </c>
      <c r="N190" s="6" t="str">
        <f>IF(ISERROR(VLOOKUP($A190,'Plano de Contas'!#REF!,8,FALSE)),"",VLOOKUP($A190,'Plano de Contas'!#REF!,8,FALSE))</f>
        <v/>
      </c>
      <c r="P190" s="6" t="str">
        <f>IF(ISERROR(VLOOKUP($A190,'Plano de Contas'!#REF!,10,FALSE)),"",VLOOKUP($A190,'Plano de Contas'!#REF!,10,FALSE))</f>
        <v/>
      </c>
    </row>
    <row r="191" spans="1:16" x14ac:dyDescent="0.25">
      <c r="A191" t="s">
        <v>340</v>
      </c>
      <c r="B191">
        <v>797</v>
      </c>
      <c r="C191" t="s">
        <v>341</v>
      </c>
      <c r="D191" s="10">
        <v>1511363.46</v>
      </c>
      <c r="F191">
        <v>0</v>
      </c>
      <c r="H191">
        <v>0</v>
      </c>
      <c r="J191" s="10">
        <v>1511363.46</v>
      </c>
      <c r="L191" s="1">
        <f t="shared" si="2"/>
        <v>1511363.46</v>
      </c>
      <c r="N191" s="6" t="str">
        <f>IF(ISERROR(VLOOKUP($A191,'Plano de Contas'!#REF!,8,FALSE)),"",VLOOKUP($A191,'Plano de Contas'!#REF!,8,FALSE))</f>
        <v/>
      </c>
      <c r="P191" s="6" t="str">
        <f>IF(ISERROR(VLOOKUP($A191,'Plano de Contas'!#REF!,10,FALSE)),"",VLOOKUP($A191,'Plano de Contas'!#REF!,10,FALSE))</f>
        <v/>
      </c>
    </row>
    <row r="192" spans="1:16" x14ac:dyDescent="0.25">
      <c r="A192" t="s">
        <v>342</v>
      </c>
      <c r="B192">
        <v>806</v>
      </c>
      <c r="C192" t="s">
        <v>343</v>
      </c>
      <c r="D192" s="10">
        <v>53669.64</v>
      </c>
      <c r="F192">
        <v>0</v>
      </c>
      <c r="H192">
        <v>0</v>
      </c>
      <c r="J192" s="10">
        <v>53669.64</v>
      </c>
      <c r="L192" s="1">
        <f t="shared" si="2"/>
        <v>53669.64</v>
      </c>
      <c r="N192" s="6" t="str">
        <f>IF(ISERROR(VLOOKUP($A192,'Plano de Contas'!#REF!,8,FALSE)),"",VLOOKUP($A192,'Plano de Contas'!#REF!,8,FALSE))</f>
        <v/>
      </c>
      <c r="P192" s="6" t="str">
        <f>IF(ISERROR(VLOOKUP($A192,'Plano de Contas'!#REF!,10,FALSE)),"",VLOOKUP($A192,'Plano de Contas'!#REF!,10,FALSE))</f>
        <v/>
      </c>
    </row>
    <row r="193" spans="1:16" x14ac:dyDescent="0.25">
      <c r="A193" t="s">
        <v>344</v>
      </c>
      <c r="B193">
        <v>810</v>
      </c>
      <c r="C193" t="s">
        <v>345</v>
      </c>
      <c r="D193" s="10">
        <v>489670.98</v>
      </c>
      <c r="F193">
        <v>0</v>
      </c>
      <c r="H193">
        <v>0</v>
      </c>
      <c r="J193" s="10">
        <v>489670.98</v>
      </c>
      <c r="L193" s="1">
        <f t="shared" si="2"/>
        <v>489670.98</v>
      </c>
      <c r="N193" s="6" t="str">
        <f>IF(ISERROR(VLOOKUP($A193,'Plano de Contas'!#REF!,8,FALSE)),"",VLOOKUP($A193,'Plano de Contas'!#REF!,8,FALSE))</f>
        <v/>
      </c>
      <c r="P193" s="6" t="str">
        <f>IF(ISERROR(VLOOKUP($A193,'Plano de Contas'!#REF!,10,FALSE)),"",VLOOKUP($A193,'Plano de Contas'!#REF!,10,FALSE))</f>
        <v/>
      </c>
    </row>
    <row r="194" spans="1:16" x14ac:dyDescent="0.25">
      <c r="A194" t="s">
        <v>346</v>
      </c>
      <c r="B194">
        <v>811</v>
      </c>
      <c r="C194" t="s">
        <v>347</v>
      </c>
      <c r="D194" s="10">
        <v>11641005.82</v>
      </c>
      <c r="F194">
        <v>0</v>
      </c>
      <c r="H194">
        <v>0</v>
      </c>
      <c r="J194" s="10">
        <v>11641005.82</v>
      </c>
      <c r="L194" s="1">
        <f t="shared" si="2"/>
        <v>11641005.82</v>
      </c>
      <c r="N194" s="6" t="str">
        <f>IF(ISERROR(VLOOKUP($A194,'Plano de Contas'!#REF!,8,FALSE)),"",VLOOKUP($A194,'Plano de Contas'!#REF!,8,FALSE))</f>
        <v/>
      </c>
      <c r="P194" s="6" t="str">
        <f>IF(ISERROR(VLOOKUP($A194,'Plano de Contas'!#REF!,10,FALSE)),"",VLOOKUP($A194,'Plano de Contas'!#REF!,10,FALSE))</f>
        <v/>
      </c>
    </row>
    <row r="195" spans="1:16" x14ac:dyDescent="0.25">
      <c r="A195" t="s">
        <v>348</v>
      </c>
      <c r="B195">
        <v>819</v>
      </c>
      <c r="C195" t="s">
        <v>349</v>
      </c>
      <c r="D195" s="10">
        <v>1649047.79</v>
      </c>
      <c r="F195">
        <v>0</v>
      </c>
      <c r="H195">
        <v>0</v>
      </c>
      <c r="J195" s="10">
        <v>1649047.79</v>
      </c>
      <c r="L195" s="1">
        <f t="shared" si="2"/>
        <v>1649047.79</v>
      </c>
      <c r="N195" s="6" t="str">
        <f>IF(ISERROR(VLOOKUP($A195,'Plano de Contas'!#REF!,8,FALSE)),"",VLOOKUP($A195,'Plano de Contas'!#REF!,8,FALSE))</f>
        <v/>
      </c>
      <c r="P195" s="6" t="str">
        <f>IF(ISERROR(VLOOKUP($A195,'Plano de Contas'!#REF!,10,FALSE)),"",VLOOKUP($A195,'Plano de Contas'!#REF!,10,FALSE))</f>
        <v/>
      </c>
    </row>
    <row r="196" spans="1:16" x14ac:dyDescent="0.25">
      <c r="A196" t="s">
        <v>350</v>
      </c>
      <c r="B196">
        <v>821</v>
      </c>
      <c r="C196" t="s">
        <v>351</v>
      </c>
      <c r="D196" s="10">
        <v>20849639.489999998</v>
      </c>
      <c r="F196">
        <v>0</v>
      </c>
      <c r="H196">
        <v>0</v>
      </c>
      <c r="J196" s="10">
        <v>20849639.489999998</v>
      </c>
      <c r="L196" s="1">
        <f t="shared" si="2"/>
        <v>20849639.489999998</v>
      </c>
      <c r="N196" s="6" t="str">
        <f>IF(ISERROR(VLOOKUP($A196,'Plano de Contas'!#REF!,8,FALSE)),"",VLOOKUP($A196,'Plano de Contas'!#REF!,8,FALSE))</f>
        <v/>
      </c>
      <c r="P196" s="6" t="str">
        <f>IF(ISERROR(VLOOKUP($A196,'Plano de Contas'!#REF!,10,FALSE)),"",VLOOKUP($A196,'Plano de Contas'!#REF!,10,FALSE))</f>
        <v/>
      </c>
    </row>
    <row r="197" spans="1:16" x14ac:dyDescent="0.25">
      <c r="A197" t="s">
        <v>352</v>
      </c>
      <c r="B197">
        <v>823</v>
      </c>
      <c r="C197" t="s">
        <v>353</v>
      </c>
      <c r="D197" s="10">
        <v>73665.05</v>
      </c>
      <c r="F197">
        <v>0</v>
      </c>
      <c r="H197">
        <v>0</v>
      </c>
      <c r="J197" s="10">
        <v>73665.05</v>
      </c>
      <c r="L197" s="1">
        <f t="shared" si="2"/>
        <v>73665.05</v>
      </c>
      <c r="N197" s="6" t="str">
        <f>IF(ISERROR(VLOOKUP($A197,'Plano de Contas'!#REF!,8,FALSE)),"",VLOOKUP($A197,'Plano de Contas'!#REF!,8,FALSE))</f>
        <v/>
      </c>
      <c r="P197" s="6" t="str">
        <f>IF(ISERROR(VLOOKUP($A197,'Plano de Contas'!#REF!,10,FALSE)),"",VLOOKUP($A197,'Plano de Contas'!#REF!,10,FALSE))</f>
        <v/>
      </c>
    </row>
    <row r="198" spans="1:16" x14ac:dyDescent="0.25">
      <c r="A198" t="s">
        <v>354</v>
      </c>
      <c r="B198">
        <v>825</v>
      </c>
      <c r="C198" t="s">
        <v>355</v>
      </c>
      <c r="D198" s="10">
        <v>141908.59</v>
      </c>
      <c r="F198">
        <v>0</v>
      </c>
      <c r="H198">
        <v>0</v>
      </c>
      <c r="J198" s="10">
        <v>141908.59</v>
      </c>
      <c r="L198" s="1">
        <f t="shared" si="2"/>
        <v>141908.59</v>
      </c>
      <c r="N198" s="6" t="str">
        <f>IF(ISERROR(VLOOKUP($A198,'Plano de Contas'!#REF!,8,FALSE)),"",VLOOKUP($A198,'Plano de Contas'!#REF!,8,FALSE))</f>
        <v/>
      </c>
      <c r="P198" s="6" t="str">
        <f>IF(ISERROR(VLOOKUP($A198,'Plano de Contas'!#REF!,10,FALSE)),"",VLOOKUP($A198,'Plano de Contas'!#REF!,10,FALSE))</f>
        <v/>
      </c>
    </row>
    <row r="199" spans="1:16" x14ac:dyDescent="0.25">
      <c r="A199" t="s">
        <v>356</v>
      </c>
      <c r="B199">
        <v>827</v>
      </c>
      <c r="C199" t="s">
        <v>357</v>
      </c>
      <c r="D199" s="10">
        <v>451147.57</v>
      </c>
      <c r="F199">
        <v>0</v>
      </c>
      <c r="H199">
        <v>0</v>
      </c>
      <c r="J199" s="10">
        <v>451147.57</v>
      </c>
      <c r="L199" s="1">
        <f t="shared" si="2"/>
        <v>451147.57</v>
      </c>
      <c r="N199" s="6" t="str">
        <f>IF(ISERROR(VLOOKUP($A199,'Plano de Contas'!#REF!,8,FALSE)),"",VLOOKUP($A199,'Plano de Contas'!#REF!,8,FALSE))</f>
        <v/>
      </c>
      <c r="P199" s="6" t="str">
        <f>IF(ISERROR(VLOOKUP($A199,'Plano de Contas'!#REF!,10,FALSE)),"",VLOOKUP($A199,'Plano de Contas'!#REF!,10,FALSE))</f>
        <v/>
      </c>
    </row>
    <row r="200" spans="1:16" x14ac:dyDescent="0.25">
      <c r="A200" t="s">
        <v>358</v>
      </c>
      <c r="B200">
        <v>865</v>
      </c>
      <c r="C200" t="s">
        <v>359</v>
      </c>
      <c r="D200" s="10">
        <v>6066252.3499999996</v>
      </c>
      <c r="F200" s="10">
        <v>1008746.55</v>
      </c>
      <c r="H200">
        <v>0</v>
      </c>
      <c r="J200" s="10">
        <v>7074998.9000000004</v>
      </c>
      <c r="L200" s="1">
        <f t="shared" ref="L200:L263" si="3">IF(K200="-",-J200,J200)</f>
        <v>7074998.9000000004</v>
      </c>
      <c r="N200" s="6" t="str">
        <f>IF(ISERROR(VLOOKUP($A200,'Plano de Contas'!#REF!,8,FALSE)),"",VLOOKUP($A200,'Plano de Contas'!#REF!,8,FALSE))</f>
        <v/>
      </c>
      <c r="P200" s="6" t="str">
        <f>IF(ISERROR(VLOOKUP($A200,'Plano de Contas'!#REF!,10,FALSE)),"",VLOOKUP($A200,'Plano de Contas'!#REF!,10,FALSE))</f>
        <v/>
      </c>
    </row>
    <row r="201" spans="1:16" x14ac:dyDescent="0.25">
      <c r="A201" t="s">
        <v>360</v>
      </c>
      <c r="B201">
        <v>914</v>
      </c>
      <c r="C201" t="s">
        <v>361</v>
      </c>
      <c r="D201" s="10">
        <v>2500000</v>
      </c>
      <c r="F201">
        <v>0</v>
      </c>
      <c r="H201">
        <v>0</v>
      </c>
      <c r="J201" s="10">
        <v>2500000</v>
      </c>
      <c r="L201" s="1">
        <f t="shared" si="3"/>
        <v>2500000</v>
      </c>
      <c r="N201" s="6" t="str">
        <f>IF(ISERROR(VLOOKUP($A201,'Plano de Contas'!#REF!,8,FALSE)),"",VLOOKUP($A201,'Plano de Contas'!#REF!,8,FALSE))</f>
        <v/>
      </c>
      <c r="P201" s="6" t="str">
        <f>IF(ISERROR(VLOOKUP($A201,'Plano de Contas'!#REF!,10,FALSE)),"",VLOOKUP($A201,'Plano de Contas'!#REF!,10,FALSE))</f>
        <v/>
      </c>
    </row>
    <row r="202" spans="1:16" x14ac:dyDescent="0.25">
      <c r="A202" t="s">
        <v>362</v>
      </c>
      <c r="B202">
        <v>950</v>
      </c>
      <c r="C202" t="s">
        <v>363</v>
      </c>
      <c r="D202" s="10">
        <v>146860.93</v>
      </c>
      <c r="F202">
        <v>0</v>
      </c>
      <c r="H202">
        <v>0</v>
      </c>
      <c r="J202" s="10">
        <v>146860.93</v>
      </c>
      <c r="L202" s="1">
        <f t="shared" si="3"/>
        <v>146860.93</v>
      </c>
      <c r="N202" s="6" t="str">
        <f>IF(ISERROR(VLOOKUP($A202,'Plano de Contas'!#REF!,8,FALSE)),"",VLOOKUP($A202,'Plano de Contas'!#REF!,8,FALSE))</f>
        <v/>
      </c>
      <c r="P202" s="6" t="str">
        <f>IF(ISERROR(VLOOKUP($A202,'Plano de Contas'!#REF!,10,FALSE)),"",VLOOKUP($A202,'Plano de Contas'!#REF!,10,FALSE))</f>
        <v/>
      </c>
    </row>
    <row r="203" spans="1:16" x14ac:dyDescent="0.25">
      <c r="A203" t="s">
        <v>364</v>
      </c>
      <c r="B203">
        <v>952</v>
      </c>
      <c r="C203" t="s">
        <v>365</v>
      </c>
      <c r="D203" s="10">
        <v>138705.43</v>
      </c>
      <c r="F203">
        <v>0</v>
      </c>
      <c r="H203">
        <v>0</v>
      </c>
      <c r="J203" s="10">
        <v>138705.43</v>
      </c>
      <c r="L203" s="1">
        <f t="shared" si="3"/>
        <v>138705.43</v>
      </c>
      <c r="N203" s="6" t="str">
        <f>IF(ISERROR(VLOOKUP($A203,'Plano de Contas'!#REF!,8,FALSE)),"",VLOOKUP($A203,'Plano de Contas'!#REF!,8,FALSE))</f>
        <v/>
      </c>
      <c r="P203" s="6" t="str">
        <f>IF(ISERROR(VLOOKUP($A203,'Plano de Contas'!#REF!,10,FALSE)),"",VLOOKUP($A203,'Plano de Contas'!#REF!,10,FALSE))</f>
        <v/>
      </c>
    </row>
    <row r="204" spans="1:16" x14ac:dyDescent="0.25">
      <c r="A204" t="s">
        <v>366</v>
      </c>
      <c r="B204">
        <v>954</v>
      </c>
      <c r="C204" t="s">
        <v>367</v>
      </c>
      <c r="D204" s="10">
        <v>146092.78</v>
      </c>
      <c r="F204">
        <v>0</v>
      </c>
      <c r="H204">
        <v>0</v>
      </c>
      <c r="J204" s="10">
        <v>146092.78</v>
      </c>
      <c r="L204" s="1">
        <f t="shared" si="3"/>
        <v>146092.78</v>
      </c>
      <c r="N204" s="6" t="str">
        <f>IF(ISERROR(VLOOKUP($A204,'Plano de Contas'!#REF!,8,FALSE)),"",VLOOKUP($A204,'Plano de Contas'!#REF!,8,FALSE))</f>
        <v/>
      </c>
      <c r="P204" s="6" t="str">
        <f>IF(ISERROR(VLOOKUP($A204,'Plano de Contas'!#REF!,10,FALSE)),"",VLOOKUP($A204,'Plano de Contas'!#REF!,10,FALSE))</f>
        <v/>
      </c>
    </row>
    <row r="205" spans="1:16" x14ac:dyDescent="0.25">
      <c r="L205" s="1">
        <f t="shared" si="3"/>
        <v>0</v>
      </c>
      <c r="N205" s="6" t="str">
        <f>IF(ISERROR(VLOOKUP($A205,'Plano de Contas'!#REF!,8,FALSE)),"",VLOOKUP($A205,'Plano de Contas'!#REF!,8,FALSE))</f>
        <v/>
      </c>
      <c r="P205" s="6" t="str">
        <f>IF(ISERROR(VLOOKUP($A205,'Plano de Contas'!#REF!,10,FALSE)),"",VLOOKUP($A205,'Plano de Contas'!#REF!,10,FALSE))</f>
        <v/>
      </c>
    </row>
    <row r="206" spans="1:16" x14ac:dyDescent="0.25">
      <c r="A206" t="s">
        <v>368</v>
      </c>
      <c r="B206">
        <v>88</v>
      </c>
      <c r="C206" t="s">
        <v>369</v>
      </c>
      <c r="D206" s="10">
        <v>63276533.039999999</v>
      </c>
      <c r="F206">
        <v>0</v>
      </c>
      <c r="H206">
        <v>0</v>
      </c>
      <c r="J206" s="10">
        <v>63276533.039999999</v>
      </c>
      <c r="L206" s="1">
        <f t="shared" si="3"/>
        <v>63276533.039999999</v>
      </c>
      <c r="N206" s="6" t="str">
        <f>IF(ISERROR(VLOOKUP($A206,'Plano de Contas'!#REF!,8,FALSE)),"",VLOOKUP($A206,'Plano de Contas'!#REF!,8,FALSE))</f>
        <v/>
      </c>
      <c r="P206" s="6" t="str">
        <f>IF(ISERROR(VLOOKUP($A206,'Plano de Contas'!#REF!,10,FALSE)),"",VLOOKUP($A206,'Plano de Contas'!#REF!,10,FALSE))</f>
        <v/>
      </c>
    </row>
    <row r="207" spans="1:16" x14ac:dyDescent="0.25">
      <c r="A207" t="s">
        <v>370</v>
      </c>
      <c r="B207">
        <v>90</v>
      </c>
      <c r="C207" t="s">
        <v>371</v>
      </c>
      <c r="D207" s="10">
        <v>987735.26</v>
      </c>
      <c r="F207">
        <v>0</v>
      </c>
      <c r="H207">
        <v>0</v>
      </c>
      <c r="J207" s="10">
        <v>987735.26</v>
      </c>
      <c r="L207" s="1">
        <f t="shared" si="3"/>
        <v>987735.26</v>
      </c>
      <c r="N207" s="6" t="str">
        <f>IF(ISERROR(VLOOKUP($A207,'Plano de Contas'!#REF!,8,FALSE)),"",VLOOKUP($A207,'Plano de Contas'!#REF!,8,FALSE))</f>
        <v/>
      </c>
      <c r="P207" s="6" t="str">
        <f>IF(ISERROR(VLOOKUP($A207,'Plano de Contas'!#REF!,10,FALSE)),"",VLOOKUP($A207,'Plano de Contas'!#REF!,10,FALSE))</f>
        <v/>
      </c>
    </row>
    <row r="208" spans="1:16" x14ac:dyDescent="0.25">
      <c r="A208" t="s">
        <v>372</v>
      </c>
      <c r="B208">
        <v>91</v>
      </c>
      <c r="C208" t="s">
        <v>373</v>
      </c>
      <c r="D208" s="10">
        <v>4664739.82</v>
      </c>
      <c r="F208">
        <v>0</v>
      </c>
      <c r="H208">
        <v>0</v>
      </c>
      <c r="J208" s="10">
        <v>4664739.82</v>
      </c>
      <c r="L208" s="1">
        <f t="shared" si="3"/>
        <v>4664739.82</v>
      </c>
      <c r="N208" s="6" t="str">
        <f>IF(ISERROR(VLOOKUP($A208,'Plano de Contas'!#REF!,8,FALSE)),"",VLOOKUP($A208,'Plano de Contas'!#REF!,8,FALSE))</f>
        <v/>
      </c>
      <c r="P208" s="6" t="str">
        <f>IF(ISERROR(VLOOKUP($A208,'Plano de Contas'!#REF!,10,FALSE)),"",VLOOKUP($A208,'Plano de Contas'!#REF!,10,FALSE))</f>
        <v/>
      </c>
    </row>
    <row r="209" spans="1:16" x14ac:dyDescent="0.25">
      <c r="A209" t="s">
        <v>374</v>
      </c>
      <c r="B209">
        <v>92</v>
      </c>
      <c r="C209" t="s">
        <v>375</v>
      </c>
      <c r="D209" s="10">
        <v>57078378</v>
      </c>
      <c r="F209">
        <v>0</v>
      </c>
      <c r="H209">
        <v>0</v>
      </c>
      <c r="J209" s="10">
        <v>57078378</v>
      </c>
      <c r="L209" s="1">
        <f t="shared" si="3"/>
        <v>57078378</v>
      </c>
      <c r="N209" s="6" t="str">
        <f>IF(ISERROR(VLOOKUP($A209,'Plano de Contas'!#REF!,8,FALSE)),"",VLOOKUP($A209,'Plano de Contas'!#REF!,8,FALSE))</f>
        <v/>
      </c>
      <c r="P209" s="6" t="str">
        <f>IF(ISERROR(VLOOKUP($A209,'Plano de Contas'!#REF!,10,FALSE)),"",VLOOKUP($A209,'Plano de Contas'!#REF!,10,FALSE))</f>
        <v/>
      </c>
    </row>
    <row r="210" spans="1:16" x14ac:dyDescent="0.25">
      <c r="A210" t="s">
        <v>376</v>
      </c>
      <c r="B210">
        <v>93</v>
      </c>
      <c r="C210" t="s">
        <v>377</v>
      </c>
      <c r="D210" s="10">
        <v>131809.38</v>
      </c>
      <c r="F210">
        <v>0</v>
      </c>
      <c r="H210">
        <v>0</v>
      </c>
      <c r="J210" s="10">
        <v>131809.38</v>
      </c>
      <c r="L210" s="1">
        <f t="shared" si="3"/>
        <v>131809.38</v>
      </c>
      <c r="N210" s="6" t="str">
        <f>IF(ISERROR(VLOOKUP($A210,'Plano de Contas'!#REF!,8,FALSE)),"",VLOOKUP($A210,'Plano de Contas'!#REF!,8,FALSE))</f>
        <v/>
      </c>
      <c r="P210" s="6" t="str">
        <f>IF(ISERROR(VLOOKUP($A210,'Plano de Contas'!#REF!,10,FALSE)),"",VLOOKUP($A210,'Plano de Contas'!#REF!,10,FALSE))</f>
        <v/>
      </c>
    </row>
    <row r="211" spans="1:16" x14ac:dyDescent="0.25">
      <c r="A211" t="s">
        <v>378</v>
      </c>
      <c r="B211">
        <v>94</v>
      </c>
      <c r="C211" t="s">
        <v>379</v>
      </c>
      <c r="D211" s="10">
        <v>131123.26999999999</v>
      </c>
      <c r="F211">
        <v>0</v>
      </c>
      <c r="H211">
        <v>0</v>
      </c>
      <c r="J211" s="10">
        <v>131123.26999999999</v>
      </c>
      <c r="L211" s="1">
        <f t="shared" si="3"/>
        <v>131123.26999999999</v>
      </c>
      <c r="N211" s="6" t="str">
        <f>IF(ISERROR(VLOOKUP($A211,'Plano de Contas'!#REF!,8,FALSE)),"",VLOOKUP($A211,'Plano de Contas'!#REF!,8,FALSE))</f>
        <v/>
      </c>
      <c r="P211" s="6" t="str">
        <f>IF(ISERROR(VLOOKUP($A211,'Plano de Contas'!#REF!,10,FALSE)),"",VLOOKUP($A211,'Plano de Contas'!#REF!,10,FALSE))</f>
        <v/>
      </c>
    </row>
    <row r="212" spans="1:16" x14ac:dyDescent="0.25">
      <c r="A212" t="s">
        <v>380</v>
      </c>
      <c r="B212">
        <v>95</v>
      </c>
      <c r="C212" t="s">
        <v>381</v>
      </c>
      <c r="D212" s="10">
        <v>264529.94</v>
      </c>
      <c r="F212">
        <v>0</v>
      </c>
      <c r="H212">
        <v>0</v>
      </c>
      <c r="J212" s="10">
        <v>264529.94</v>
      </c>
      <c r="L212" s="1">
        <f t="shared" si="3"/>
        <v>264529.94</v>
      </c>
      <c r="N212" s="6" t="str">
        <f>IF(ISERROR(VLOOKUP($A212,'Plano de Contas'!#REF!,8,FALSE)),"",VLOOKUP($A212,'Plano de Contas'!#REF!,8,FALSE))</f>
        <v/>
      </c>
      <c r="P212" s="6" t="str">
        <f>IF(ISERROR(VLOOKUP($A212,'Plano de Contas'!#REF!,10,FALSE)),"",VLOOKUP($A212,'Plano de Contas'!#REF!,10,FALSE))</f>
        <v/>
      </c>
    </row>
    <row r="213" spans="1:16" x14ac:dyDescent="0.25">
      <c r="A213" t="s">
        <v>382</v>
      </c>
      <c r="B213">
        <v>461</v>
      </c>
      <c r="C213" t="s">
        <v>383</v>
      </c>
      <c r="D213" s="10">
        <v>18217.37</v>
      </c>
      <c r="F213">
        <v>0</v>
      </c>
      <c r="H213">
        <v>0</v>
      </c>
      <c r="J213" s="10">
        <v>18217.37</v>
      </c>
      <c r="L213" s="1">
        <f t="shared" si="3"/>
        <v>18217.37</v>
      </c>
      <c r="N213" s="6" t="str">
        <f>IF(ISERROR(VLOOKUP($A213,'Plano de Contas'!#REF!,8,FALSE)),"",VLOOKUP($A213,'Plano de Contas'!#REF!,8,FALSE))</f>
        <v/>
      </c>
      <c r="P213" s="6" t="str">
        <f>IF(ISERROR(VLOOKUP($A213,'Plano de Contas'!#REF!,10,FALSE)),"",VLOOKUP($A213,'Plano de Contas'!#REF!,10,FALSE))</f>
        <v/>
      </c>
    </row>
    <row r="214" spans="1:16" x14ac:dyDescent="0.25">
      <c r="L214" s="1">
        <f t="shared" si="3"/>
        <v>0</v>
      </c>
      <c r="N214" s="6" t="str">
        <f>IF(ISERROR(VLOOKUP($A214,'Plano de Contas'!#REF!,8,FALSE)),"",VLOOKUP($A214,'Plano de Contas'!#REF!,8,FALSE))</f>
        <v/>
      </c>
      <c r="P214" s="6" t="str">
        <f>IF(ISERROR(VLOOKUP($A214,'Plano de Contas'!#REF!,10,FALSE)),"",VLOOKUP($A214,'Plano de Contas'!#REF!,10,FALSE))</f>
        <v/>
      </c>
    </row>
    <row r="215" spans="1:16" x14ac:dyDescent="0.25">
      <c r="A215" t="s">
        <v>384</v>
      </c>
      <c r="B215">
        <v>96</v>
      </c>
      <c r="C215" t="s">
        <v>385</v>
      </c>
      <c r="D215" s="10">
        <v>1811505408.1600001</v>
      </c>
      <c r="F215" s="10">
        <v>36318492.460000001</v>
      </c>
      <c r="H215">
        <v>0</v>
      </c>
      <c r="J215" s="10">
        <v>1847823900.6199999</v>
      </c>
      <c r="L215" s="1">
        <f t="shared" si="3"/>
        <v>1847823900.6199999</v>
      </c>
      <c r="N215" s="6" t="str">
        <f>IF(ISERROR(VLOOKUP($A215,'Plano de Contas'!#REF!,8,FALSE)),"",VLOOKUP($A215,'Plano de Contas'!#REF!,8,FALSE))</f>
        <v/>
      </c>
      <c r="P215" s="6" t="str">
        <f>IF(ISERROR(VLOOKUP($A215,'Plano de Contas'!#REF!,10,FALSE)),"",VLOOKUP($A215,'Plano de Contas'!#REF!,10,FALSE))</f>
        <v/>
      </c>
    </row>
    <row r="216" spans="1:16" x14ac:dyDescent="0.25">
      <c r="A216" t="s">
        <v>386</v>
      </c>
      <c r="B216">
        <v>323</v>
      </c>
      <c r="C216" t="s">
        <v>387</v>
      </c>
      <c r="D216" s="10">
        <v>1783778528.02</v>
      </c>
      <c r="F216" s="10">
        <v>36318492.460000001</v>
      </c>
      <c r="H216">
        <v>0</v>
      </c>
      <c r="J216" s="10">
        <v>1820097020.48</v>
      </c>
      <c r="L216" s="1">
        <f t="shared" si="3"/>
        <v>1820097020.48</v>
      </c>
      <c r="N216" s="6" t="str">
        <f>IF(ISERROR(VLOOKUP($A216,'Plano de Contas'!#REF!,8,FALSE)),"",VLOOKUP($A216,'Plano de Contas'!#REF!,8,FALSE))</f>
        <v/>
      </c>
      <c r="P216" s="6" t="str">
        <f>IF(ISERROR(VLOOKUP($A216,'Plano de Contas'!#REF!,10,FALSE)),"",VLOOKUP($A216,'Plano de Contas'!#REF!,10,FALSE))</f>
        <v/>
      </c>
    </row>
    <row r="217" spans="1:16" x14ac:dyDescent="0.25">
      <c r="A217" t="s">
        <v>388</v>
      </c>
      <c r="B217">
        <v>324</v>
      </c>
      <c r="C217" t="s">
        <v>389</v>
      </c>
      <c r="D217" s="10">
        <v>9596917.9900000002</v>
      </c>
      <c r="F217">
        <v>0</v>
      </c>
      <c r="H217">
        <v>0</v>
      </c>
      <c r="J217" s="10">
        <v>9596917.9900000002</v>
      </c>
      <c r="L217" s="1">
        <f t="shared" si="3"/>
        <v>9596917.9900000002</v>
      </c>
      <c r="N217" s="6" t="str">
        <f>IF(ISERROR(VLOOKUP($A217,'Plano de Contas'!#REF!,8,FALSE)),"",VLOOKUP($A217,'Plano de Contas'!#REF!,8,FALSE))</f>
        <v/>
      </c>
      <c r="P217" s="6" t="str">
        <f>IF(ISERROR(VLOOKUP($A217,'Plano de Contas'!#REF!,10,FALSE)),"",VLOOKUP($A217,'Plano de Contas'!#REF!,10,FALSE))</f>
        <v/>
      </c>
    </row>
    <row r="218" spans="1:16" x14ac:dyDescent="0.25">
      <c r="A218" t="s">
        <v>390</v>
      </c>
      <c r="B218">
        <v>638</v>
      </c>
      <c r="C218" t="s">
        <v>391</v>
      </c>
      <c r="D218" s="10">
        <v>145225.78</v>
      </c>
      <c r="F218">
        <v>0</v>
      </c>
      <c r="H218">
        <v>0</v>
      </c>
      <c r="J218" s="10">
        <v>145225.78</v>
      </c>
      <c r="L218" s="1">
        <f t="shared" si="3"/>
        <v>145225.78</v>
      </c>
      <c r="N218" s="6" t="str">
        <f>IF(ISERROR(VLOOKUP($A218,'Plano de Contas'!#REF!,8,FALSE)),"",VLOOKUP($A218,'Plano de Contas'!#REF!,8,FALSE))</f>
        <v/>
      </c>
      <c r="P218" s="6" t="str">
        <f>IF(ISERROR(VLOOKUP($A218,'Plano de Contas'!#REF!,10,FALSE)),"",VLOOKUP($A218,'Plano de Contas'!#REF!,10,FALSE))</f>
        <v/>
      </c>
    </row>
    <row r="219" spans="1:16" x14ac:dyDescent="0.25">
      <c r="A219" t="s">
        <v>392</v>
      </c>
      <c r="B219">
        <v>639</v>
      </c>
      <c r="C219" t="s">
        <v>393</v>
      </c>
      <c r="D219" s="10">
        <v>51514.54</v>
      </c>
      <c r="F219">
        <v>0</v>
      </c>
      <c r="H219">
        <v>0</v>
      </c>
      <c r="J219" s="10">
        <v>51514.54</v>
      </c>
      <c r="L219" s="35">
        <f t="shared" si="3"/>
        <v>51514.54</v>
      </c>
      <c r="N219" s="6" t="str">
        <f>IF(ISERROR(VLOOKUP($A219,'Plano de Contas'!#REF!,8,FALSE)),"",VLOOKUP($A219,'Plano de Contas'!#REF!,8,FALSE))</f>
        <v/>
      </c>
      <c r="P219" s="6" t="str">
        <f>IF(ISERROR(VLOOKUP($A219,'Plano de Contas'!#REF!,10,FALSE)),"",VLOOKUP($A219,'Plano de Contas'!#REF!,10,FALSE))</f>
        <v/>
      </c>
    </row>
    <row r="220" spans="1:16" x14ac:dyDescent="0.25">
      <c r="A220" t="s">
        <v>394</v>
      </c>
      <c r="B220">
        <v>642</v>
      </c>
      <c r="C220" t="s">
        <v>395</v>
      </c>
      <c r="D220" s="10">
        <v>521985.21</v>
      </c>
      <c r="F220">
        <v>0</v>
      </c>
      <c r="H220">
        <v>0</v>
      </c>
      <c r="J220" s="10">
        <v>521985.21</v>
      </c>
      <c r="L220" s="1">
        <f t="shared" si="3"/>
        <v>521985.21</v>
      </c>
      <c r="N220" s="6" t="str">
        <f>IF(ISERROR(VLOOKUP($A220,'Plano de Contas'!#REF!,8,FALSE)),"",VLOOKUP($A220,'Plano de Contas'!#REF!,8,FALSE))</f>
        <v/>
      </c>
      <c r="P220" s="6" t="str">
        <f>IF(ISERROR(VLOOKUP($A220,'Plano de Contas'!#REF!,10,FALSE)),"",VLOOKUP($A220,'Plano de Contas'!#REF!,10,FALSE))</f>
        <v/>
      </c>
    </row>
    <row r="221" spans="1:16" x14ac:dyDescent="0.25">
      <c r="A221" t="s">
        <v>396</v>
      </c>
      <c r="B221">
        <v>643</v>
      </c>
      <c r="C221" t="s">
        <v>397</v>
      </c>
      <c r="D221" s="10">
        <v>164400.75</v>
      </c>
      <c r="F221">
        <v>0</v>
      </c>
      <c r="H221">
        <v>0</v>
      </c>
      <c r="J221" s="10">
        <v>164400.75</v>
      </c>
      <c r="L221" s="1">
        <f t="shared" si="3"/>
        <v>164400.75</v>
      </c>
      <c r="N221" s="6" t="str">
        <f>IF(ISERROR(VLOOKUP($A221,'Plano de Contas'!#REF!,8,FALSE)),"",VLOOKUP($A221,'Plano de Contas'!#REF!,8,FALSE))</f>
        <v/>
      </c>
      <c r="P221" s="6" t="str">
        <f>IF(ISERROR(VLOOKUP($A221,'Plano de Contas'!#REF!,10,FALSE)),"",VLOOKUP($A221,'Plano de Contas'!#REF!,10,FALSE))</f>
        <v/>
      </c>
    </row>
    <row r="222" spans="1:16" x14ac:dyDescent="0.25">
      <c r="A222" t="s">
        <v>398</v>
      </c>
      <c r="B222">
        <v>644</v>
      </c>
      <c r="C222" t="s">
        <v>399</v>
      </c>
      <c r="D222" s="10">
        <v>56456.91</v>
      </c>
      <c r="F222">
        <v>0</v>
      </c>
      <c r="H222">
        <v>0</v>
      </c>
      <c r="J222" s="10">
        <v>56456.91</v>
      </c>
      <c r="L222" s="1">
        <f t="shared" si="3"/>
        <v>56456.91</v>
      </c>
      <c r="N222" s="6" t="str">
        <f>IF(ISERROR(VLOOKUP($A222,'Plano de Contas'!#REF!,8,FALSE)),"",VLOOKUP($A222,'Plano de Contas'!#REF!,8,FALSE))</f>
        <v/>
      </c>
      <c r="P222" s="6" t="str">
        <f>IF(ISERROR(VLOOKUP($A222,'Plano de Contas'!#REF!,10,FALSE)),"",VLOOKUP($A222,'Plano de Contas'!#REF!,10,FALSE))</f>
        <v/>
      </c>
    </row>
    <row r="223" spans="1:16" x14ac:dyDescent="0.25">
      <c r="A223" t="s">
        <v>400</v>
      </c>
      <c r="B223">
        <v>645</v>
      </c>
      <c r="C223" t="s">
        <v>401</v>
      </c>
      <c r="D223" s="10">
        <v>120463.24</v>
      </c>
      <c r="F223">
        <v>0</v>
      </c>
      <c r="H223">
        <v>0</v>
      </c>
      <c r="J223" s="10">
        <v>120463.24</v>
      </c>
      <c r="L223" s="1">
        <f t="shared" si="3"/>
        <v>120463.24</v>
      </c>
      <c r="N223" s="6" t="str">
        <f>IF(ISERROR(VLOOKUP($A223,'Plano de Contas'!#REF!,8,FALSE)),"",VLOOKUP($A223,'Plano de Contas'!#REF!,8,FALSE))</f>
        <v/>
      </c>
      <c r="P223" s="6" t="str">
        <f>IF(ISERROR(VLOOKUP($A223,'Plano de Contas'!#REF!,10,FALSE)),"",VLOOKUP($A223,'Plano de Contas'!#REF!,10,FALSE))</f>
        <v/>
      </c>
    </row>
    <row r="224" spans="1:16" x14ac:dyDescent="0.25">
      <c r="A224" t="s">
        <v>402</v>
      </c>
      <c r="B224">
        <v>646</v>
      </c>
      <c r="C224" t="s">
        <v>403</v>
      </c>
      <c r="D224" s="10">
        <v>71976.259999999995</v>
      </c>
      <c r="F224">
        <v>0</v>
      </c>
      <c r="H224">
        <v>0</v>
      </c>
      <c r="J224" s="10">
        <v>71976.259999999995</v>
      </c>
      <c r="L224" s="1">
        <f t="shared" si="3"/>
        <v>71976.259999999995</v>
      </c>
      <c r="N224" s="6" t="str">
        <f>IF(ISERROR(VLOOKUP($A224,'Plano de Contas'!#REF!,8,FALSE)),"",VLOOKUP($A224,'Plano de Contas'!#REF!,8,FALSE))</f>
        <v/>
      </c>
      <c r="P224" s="6" t="str">
        <f>IF(ISERROR(VLOOKUP($A224,'Plano de Contas'!#REF!,10,FALSE)),"",VLOOKUP($A224,'Plano de Contas'!#REF!,10,FALSE))</f>
        <v/>
      </c>
    </row>
    <row r="225" spans="1:16" x14ac:dyDescent="0.25">
      <c r="A225" t="s">
        <v>404</v>
      </c>
      <c r="B225">
        <v>647</v>
      </c>
      <c r="C225" t="s">
        <v>405</v>
      </c>
      <c r="D225" s="10">
        <v>5400</v>
      </c>
      <c r="F225">
        <v>0</v>
      </c>
      <c r="H225">
        <v>0</v>
      </c>
      <c r="J225" s="10">
        <v>5400</v>
      </c>
      <c r="L225" s="1">
        <f t="shared" si="3"/>
        <v>5400</v>
      </c>
      <c r="N225" s="6" t="str">
        <f>IF(ISERROR(VLOOKUP($A225,'Plano de Contas'!#REF!,8,FALSE)),"",VLOOKUP($A225,'Plano de Contas'!#REF!,8,FALSE))</f>
        <v/>
      </c>
      <c r="P225" s="6" t="str">
        <f>IF(ISERROR(VLOOKUP($A225,'Plano de Contas'!#REF!,10,FALSE)),"",VLOOKUP($A225,'Plano de Contas'!#REF!,10,FALSE))</f>
        <v/>
      </c>
    </row>
    <row r="226" spans="1:16" x14ac:dyDescent="0.25">
      <c r="A226" t="s">
        <v>406</v>
      </c>
      <c r="B226">
        <v>649</v>
      </c>
      <c r="C226" t="s">
        <v>407</v>
      </c>
      <c r="D226" s="10">
        <v>121272.5</v>
      </c>
      <c r="F226">
        <v>0</v>
      </c>
      <c r="H226">
        <v>0</v>
      </c>
      <c r="J226" s="10">
        <v>121272.5</v>
      </c>
      <c r="L226" s="1">
        <f t="shared" si="3"/>
        <v>121272.5</v>
      </c>
      <c r="N226" s="6" t="str">
        <f>IF(ISERROR(VLOOKUP($A226,'Plano de Contas'!#REF!,8,FALSE)),"",VLOOKUP($A226,'Plano de Contas'!#REF!,8,FALSE))</f>
        <v/>
      </c>
      <c r="P226" s="6" t="str">
        <f>IF(ISERROR(VLOOKUP($A226,'Plano de Contas'!#REF!,10,FALSE)),"",VLOOKUP($A226,'Plano de Contas'!#REF!,10,FALSE))</f>
        <v/>
      </c>
    </row>
    <row r="227" spans="1:16" x14ac:dyDescent="0.25">
      <c r="A227" t="s">
        <v>408</v>
      </c>
      <c r="B227">
        <v>650</v>
      </c>
      <c r="C227" t="s">
        <v>409</v>
      </c>
      <c r="D227" s="10">
        <v>39172.18</v>
      </c>
      <c r="F227">
        <v>0</v>
      </c>
      <c r="H227">
        <v>0</v>
      </c>
      <c r="J227" s="10">
        <v>39172.18</v>
      </c>
      <c r="L227" s="35">
        <f t="shared" si="3"/>
        <v>39172.18</v>
      </c>
      <c r="N227" s="6" t="str">
        <f>IF(ISERROR(VLOOKUP($A227,'Plano de Contas'!#REF!,8,FALSE)),"",VLOOKUP($A227,'Plano de Contas'!#REF!,8,FALSE))</f>
        <v/>
      </c>
      <c r="P227" s="6" t="str">
        <f>IF(ISERROR(VLOOKUP($A227,'Plano de Contas'!#REF!,10,FALSE)),"",VLOOKUP($A227,'Plano de Contas'!#REF!,10,FALSE))</f>
        <v/>
      </c>
    </row>
    <row r="228" spans="1:16" x14ac:dyDescent="0.25">
      <c r="A228" t="s">
        <v>410</v>
      </c>
      <c r="B228">
        <v>654</v>
      </c>
      <c r="C228" t="s">
        <v>411</v>
      </c>
      <c r="D228" s="10">
        <v>2623476.1800000002</v>
      </c>
      <c r="F228">
        <v>0</v>
      </c>
      <c r="H228">
        <v>0</v>
      </c>
      <c r="J228" s="10">
        <v>2623476.1800000002</v>
      </c>
      <c r="L228" s="1">
        <f t="shared" si="3"/>
        <v>2623476.1800000002</v>
      </c>
      <c r="N228" s="6" t="str">
        <f>IF(ISERROR(VLOOKUP($A228,'Plano de Contas'!#REF!,8,FALSE)),"",VLOOKUP($A228,'Plano de Contas'!#REF!,8,FALSE))</f>
        <v/>
      </c>
      <c r="P228" s="6" t="str">
        <f>IF(ISERROR(VLOOKUP($A228,'Plano de Contas'!#REF!,10,FALSE)),"",VLOOKUP($A228,'Plano de Contas'!#REF!,10,FALSE))</f>
        <v/>
      </c>
    </row>
    <row r="229" spans="1:16" x14ac:dyDescent="0.25">
      <c r="A229" t="s">
        <v>412</v>
      </c>
      <c r="B229">
        <v>718</v>
      </c>
      <c r="C229" t="s">
        <v>413</v>
      </c>
      <c r="D229" s="10">
        <v>14208618.6</v>
      </c>
      <c r="F229">
        <v>0</v>
      </c>
      <c r="H229">
        <v>0</v>
      </c>
      <c r="J229" s="10">
        <v>14208618.6</v>
      </c>
      <c r="L229" s="1">
        <f t="shared" si="3"/>
        <v>14208618.6</v>
      </c>
      <c r="N229" s="6" t="str">
        <f>IF(ISERROR(VLOOKUP($A229,'Plano de Contas'!#REF!,8,FALSE)),"",VLOOKUP($A229,'Plano de Contas'!#REF!,8,FALSE))</f>
        <v/>
      </c>
      <c r="P229" s="6" t="str">
        <f>IF(ISERROR(VLOOKUP($A229,'Plano de Contas'!#REF!,10,FALSE)),"",VLOOKUP($A229,'Plano de Contas'!#REF!,10,FALSE))</f>
        <v/>
      </c>
    </row>
    <row r="230" spans="1:16" x14ac:dyDescent="0.25">
      <c r="L230" s="1">
        <f t="shared" si="3"/>
        <v>0</v>
      </c>
      <c r="N230" s="6" t="str">
        <f>IF(ISERROR(VLOOKUP($A230,'Plano de Contas'!#REF!,8,FALSE)),"",VLOOKUP($A230,'Plano de Contas'!#REF!,8,FALSE))</f>
        <v/>
      </c>
      <c r="P230" s="6" t="str">
        <f>IF(ISERROR(VLOOKUP($A230,'Plano de Contas'!#REF!,10,FALSE)),"",VLOOKUP($A230,'Plano de Contas'!#REF!,10,FALSE))</f>
        <v/>
      </c>
    </row>
    <row r="231" spans="1:16" x14ac:dyDescent="0.25">
      <c r="A231" t="s">
        <v>414</v>
      </c>
      <c r="B231">
        <v>97</v>
      </c>
      <c r="C231" t="s">
        <v>415</v>
      </c>
      <c r="D231" s="10">
        <v>93371520.769999996</v>
      </c>
      <c r="E231" t="s">
        <v>35</v>
      </c>
      <c r="F231">
        <v>0</v>
      </c>
      <c r="H231" s="10">
        <v>1346207.52</v>
      </c>
      <c r="I231" t="s">
        <v>35</v>
      </c>
      <c r="J231" s="10">
        <v>94717728.290000007</v>
      </c>
      <c r="K231" t="s">
        <v>35</v>
      </c>
      <c r="L231" s="1">
        <f t="shared" si="3"/>
        <v>-94717728.290000007</v>
      </c>
      <c r="N231" s="6" t="str">
        <f>IF(ISERROR(VLOOKUP($A231,'Plano de Contas'!#REF!,8,FALSE)),"",VLOOKUP($A231,'Plano de Contas'!#REF!,8,FALSE))</f>
        <v/>
      </c>
      <c r="P231" s="6" t="str">
        <f>IF(ISERROR(VLOOKUP($A231,'Plano de Contas'!#REF!,10,FALSE)),"",VLOOKUP($A231,'Plano de Contas'!#REF!,10,FALSE))</f>
        <v/>
      </c>
    </row>
    <row r="232" spans="1:16" x14ac:dyDescent="0.25">
      <c r="A232" t="s">
        <v>416</v>
      </c>
      <c r="B232">
        <v>98</v>
      </c>
      <c r="C232" t="s">
        <v>417</v>
      </c>
      <c r="D232" s="10">
        <v>4577238.79</v>
      </c>
      <c r="E232" t="s">
        <v>35</v>
      </c>
      <c r="F232">
        <v>0</v>
      </c>
      <c r="H232" s="10">
        <v>2337.69</v>
      </c>
      <c r="I232" t="s">
        <v>35</v>
      </c>
      <c r="J232" s="10">
        <v>4579576.4800000004</v>
      </c>
      <c r="K232" t="s">
        <v>35</v>
      </c>
      <c r="L232" s="1">
        <f t="shared" si="3"/>
        <v>-4579576.4800000004</v>
      </c>
      <c r="N232" s="6" t="str">
        <f>IF(ISERROR(VLOOKUP($A232,'Plano de Contas'!#REF!,8,FALSE)),"",VLOOKUP($A232,'Plano de Contas'!#REF!,8,FALSE))</f>
        <v/>
      </c>
      <c r="P232" s="6" t="str">
        <f>IF(ISERROR(VLOOKUP($A232,'Plano de Contas'!#REF!,10,FALSE)),"",VLOOKUP($A232,'Plano de Contas'!#REF!,10,FALSE))</f>
        <v/>
      </c>
    </row>
    <row r="233" spans="1:16" x14ac:dyDescent="0.25">
      <c r="A233" t="s">
        <v>418</v>
      </c>
      <c r="B233">
        <v>99</v>
      </c>
      <c r="C233" t="s">
        <v>419</v>
      </c>
      <c r="D233" s="10">
        <v>72982736.849999994</v>
      </c>
      <c r="E233" t="s">
        <v>35</v>
      </c>
      <c r="F233">
        <v>0</v>
      </c>
      <c r="H233" s="10">
        <v>1288033.53</v>
      </c>
      <c r="I233" t="s">
        <v>35</v>
      </c>
      <c r="J233" s="10">
        <v>74270770.379999995</v>
      </c>
      <c r="K233" t="s">
        <v>35</v>
      </c>
      <c r="L233" s="1">
        <f t="shared" si="3"/>
        <v>-74270770.379999995</v>
      </c>
      <c r="N233" s="6" t="str">
        <f>IF(ISERROR(VLOOKUP($A233,'Plano de Contas'!#REF!,8,FALSE)),"",VLOOKUP($A233,'Plano de Contas'!#REF!,8,FALSE))</f>
        <v/>
      </c>
      <c r="P233" s="6" t="str">
        <f>IF(ISERROR(VLOOKUP($A233,'Plano de Contas'!#REF!,10,FALSE)),"",VLOOKUP($A233,'Plano de Contas'!#REF!,10,FALSE))</f>
        <v/>
      </c>
    </row>
    <row r="234" spans="1:16" x14ac:dyDescent="0.25">
      <c r="A234" t="s">
        <v>420</v>
      </c>
      <c r="B234">
        <v>100</v>
      </c>
      <c r="C234" t="s">
        <v>421</v>
      </c>
      <c r="D234" s="10">
        <v>9454801.4499999993</v>
      </c>
      <c r="E234" t="s">
        <v>35</v>
      </c>
      <c r="F234">
        <v>0</v>
      </c>
      <c r="H234" s="10">
        <v>11888.52</v>
      </c>
      <c r="I234" t="s">
        <v>35</v>
      </c>
      <c r="J234" s="10">
        <v>9466689.9700000007</v>
      </c>
      <c r="K234" t="s">
        <v>35</v>
      </c>
      <c r="L234" s="1">
        <f t="shared" si="3"/>
        <v>-9466689.9700000007</v>
      </c>
      <c r="N234" s="6" t="str">
        <f>IF(ISERROR(VLOOKUP($A234,'Plano de Contas'!#REF!,8,FALSE)),"",VLOOKUP($A234,'Plano de Contas'!#REF!,8,FALSE))</f>
        <v/>
      </c>
      <c r="P234" s="6" t="str">
        <f>IF(ISERROR(VLOOKUP($A234,'Plano de Contas'!#REF!,10,FALSE)),"",VLOOKUP($A234,'Plano de Contas'!#REF!,10,FALSE))</f>
        <v/>
      </c>
    </row>
    <row r="235" spans="1:16" x14ac:dyDescent="0.25">
      <c r="A235" t="s">
        <v>422</v>
      </c>
      <c r="B235">
        <v>101</v>
      </c>
      <c r="C235" t="s">
        <v>423</v>
      </c>
      <c r="D235" s="10">
        <v>798673.06</v>
      </c>
      <c r="E235" t="s">
        <v>35</v>
      </c>
      <c r="F235">
        <v>0</v>
      </c>
      <c r="H235" s="10">
        <v>1306.26</v>
      </c>
      <c r="I235" t="s">
        <v>35</v>
      </c>
      <c r="J235" s="10">
        <v>799979.32</v>
      </c>
      <c r="K235" t="s">
        <v>35</v>
      </c>
      <c r="L235" s="1">
        <f t="shared" si="3"/>
        <v>-799979.32</v>
      </c>
      <c r="N235" s="6" t="str">
        <f>IF(ISERROR(VLOOKUP($A235,'Plano de Contas'!#REF!,8,FALSE)),"",VLOOKUP($A235,'Plano de Contas'!#REF!,8,FALSE))</f>
        <v/>
      </c>
      <c r="P235" s="6" t="str">
        <f>IF(ISERROR(VLOOKUP($A235,'Plano de Contas'!#REF!,10,FALSE)),"",VLOOKUP($A235,'Plano de Contas'!#REF!,10,FALSE))</f>
        <v/>
      </c>
    </row>
    <row r="236" spans="1:16" x14ac:dyDescent="0.25">
      <c r="A236" t="s">
        <v>424</v>
      </c>
      <c r="B236">
        <v>102</v>
      </c>
      <c r="C236" t="s">
        <v>425</v>
      </c>
      <c r="D236" s="10">
        <v>-3701351.83</v>
      </c>
      <c r="F236">
        <v>0</v>
      </c>
      <c r="H236" s="10">
        <v>-29573.24</v>
      </c>
      <c r="J236" s="10">
        <v>-3730925.07</v>
      </c>
      <c r="L236" s="1">
        <f t="shared" si="3"/>
        <v>-3730925.07</v>
      </c>
      <c r="N236" s="6" t="str">
        <f>IF(ISERROR(VLOOKUP($A236,'Plano de Contas'!#REF!,8,FALSE)),"",VLOOKUP($A236,'Plano de Contas'!#REF!,8,FALSE))</f>
        <v/>
      </c>
      <c r="P236" s="6" t="str">
        <f>IF(ISERROR(VLOOKUP($A236,'Plano de Contas'!#REF!,10,FALSE)),"",VLOOKUP($A236,'Plano de Contas'!#REF!,10,FALSE))</f>
        <v/>
      </c>
    </row>
    <row r="237" spans="1:16" x14ac:dyDescent="0.25">
      <c r="A237" t="s">
        <v>426</v>
      </c>
      <c r="B237">
        <v>462</v>
      </c>
      <c r="C237" t="s">
        <v>427</v>
      </c>
      <c r="D237" s="10">
        <v>1577420.75</v>
      </c>
      <c r="E237" t="s">
        <v>35</v>
      </c>
      <c r="F237">
        <v>0</v>
      </c>
      <c r="H237" s="10">
        <v>4410.87</v>
      </c>
      <c r="I237" t="s">
        <v>35</v>
      </c>
      <c r="J237" s="10">
        <v>1581831.62</v>
      </c>
      <c r="K237" t="s">
        <v>35</v>
      </c>
      <c r="L237" s="1">
        <f t="shared" si="3"/>
        <v>-1581831.62</v>
      </c>
      <c r="N237" s="6" t="str">
        <f>IF(ISERROR(VLOOKUP($A237,'Plano de Contas'!#REF!,8,FALSE)),"",VLOOKUP($A237,'Plano de Contas'!#REF!,8,FALSE))</f>
        <v/>
      </c>
      <c r="P237" s="6" t="str">
        <f>IF(ISERROR(VLOOKUP($A237,'Plano de Contas'!#REF!,10,FALSE)),"",VLOOKUP($A237,'Plano de Contas'!#REF!,10,FALSE))</f>
        <v/>
      </c>
    </row>
    <row r="238" spans="1:16" x14ac:dyDescent="0.25">
      <c r="A238" t="s">
        <v>428</v>
      </c>
      <c r="B238">
        <v>465</v>
      </c>
      <c r="C238" t="s">
        <v>429</v>
      </c>
      <c r="D238" s="10">
        <v>-279298.03999999998</v>
      </c>
      <c r="F238">
        <v>0</v>
      </c>
      <c r="H238" s="10">
        <v>-6205.03</v>
      </c>
      <c r="J238" s="10">
        <v>-285503.07</v>
      </c>
      <c r="L238" s="1">
        <f t="shared" si="3"/>
        <v>-285503.07</v>
      </c>
      <c r="N238" s="6" t="str">
        <f>IF(ISERROR(VLOOKUP($A238,'Plano de Contas'!#REF!,8,FALSE)),"",VLOOKUP($A238,'Plano de Contas'!#REF!,8,FALSE))</f>
        <v/>
      </c>
      <c r="P238" s="6" t="str">
        <f>IF(ISERROR(VLOOKUP($A238,'Plano de Contas'!#REF!,10,FALSE)),"",VLOOKUP($A238,'Plano de Contas'!#REF!,10,FALSE))</f>
        <v/>
      </c>
    </row>
    <row r="239" spans="1:16" x14ac:dyDescent="0.25">
      <c r="A239" t="s">
        <v>430</v>
      </c>
      <c r="B239">
        <v>955</v>
      </c>
      <c r="C239" t="s">
        <v>431</v>
      </c>
      <c r="D239">
        <v>0</v>
      </c>
      <c r="F239">
        <v>0</v>
      </c>
      <c r="H239" s="10">
        <v>1228.54</v>
      </c>
      <c r="I239" t="s">
        <v>35</v>
      </c>
      <c r="J239" s="10">
        <v>1228.54</v>
      </c>
      <c r="K239" t="s">
        <v>35</v>
      </c>
      <c r="L239" s="1">
        <f t="shared" si="3"/>
        <v>-1228.54</v>
      </c>
      <c r="N239" s="6" t="str">
        <f>IF(ISERROR(VLOOKUP($A239,'Plano de Contas'!#REF!,8,FALSE)),"",VLOOKUP($A239,'Plano de Contas'!#REF!,8,FALSE))</f>
        <v/>
      </c>
      <c r="P239" s="6" t="str">
        <f>IF(ISERROR(VLOOKUP($A239,'Plano de Contas'!#REF!,10,FALSE)),"",VLOOKUP($A239,'Plano de Contas'!#REF!,10,FALSE))</f>
        <v/>
      </c>
    </row>
    <row r="240" spans="1:16" x14ac:dyDescent="0.25">
      <c r="A240" t="s">
        <v>432</v>
      </c>
      <c r="B240">
        <v>956</v>
      </c>
      <c r="C240" t="s">
        <v>433</v>
      </c>
      <c r="D240">
        <v>0</v>
      </c>
      <c r="F240">
        <v>0</v>
      </c>
      <c r="H240" s="10">
        <v>1223.8399999999999</v>
      </c>
      <c r="I240" t="s">
        <v>35</v>
      </c>
      <c r="J240" s="10">
        <v>1223.8399999999999</v>
      </c>
      <c r="K240" t="s">
        <v>35</v>
      </c>
      <c r="L240" s="1">
        <f t="shared" si="3"/>
        <v>-1223.8399999999999</v>
      </c>
      <c r="N240" s="6" t="str">
        <f>IF(ISERROR(VLOOKUP($A240,'Plano de Contas'!#REF!,8,FALSE)),"",VLOOKUP($A240,'Plano de Contas'!#REF!,8,FALSE))</f>
        <v/>
      </c>
      <c r="P240" s="6" t="str">
        <f>IF(ISERROR(VLOOKUP($A240,'Plano de Contas'!#REF!,10,FALSE)),"",VLOOKUP($A240,'Plano de Contas'!#REF!,10,FALSE))</f>
        <v/>
      </c>
    </row>
    <row r="241" spans="1:16" x14ac:dyDescent="0.25">
      <c r="L241" s="1">
        <f t="shared" si="3"/>
        <v>0</v>
      </c>
      <c r="N241" s="6" t="str">
        <f>IF(ISERROR(VLOOKUP($A241,'Plano de Contas'!#REF!,8,FALSE)),"",VLOOKUP($A241,'Plano de Contas'!#REF!,8,FALSE))</f>
        <v/>
      </c>
      <c r="P241" s="6" t="str">
        <f>IF(ISERROR(VLOOKUP($A241,'Plano de Contas'!#REF!,10,FALSE)),"",VLOOKUP($A241,'Plano de Contas'!#REF!,10,FALSE))</f>
        <v/>
      </c>
    </row>
    <row r="242" spans="1:16" x14ac:dyDescent="0.25">
      <c r="A242" t="s">
        <v>434</v>
      </c>
      <c r="B242">
        <v>103</v>
      </c>
      <c r="C242" t="s">
        <v>415</v>
      </c>
      <c r="D242" s="10">
        <v>26464002.699999999</v>
      </c>
      <c r="E242" t="s">
        <v>35</v>
      </c>
      <c r="F242">
        <v>0</v>
      </c>
      <c r="H242" s="10">
        <v>66682.11</v>
      </c>
      <c r="I242" t="s">
        <v>35</v>
      </c>
      <c r="J242" s="10">
        <v>26530684.809999999</v>
      </c>
      <c r="K242" t="s">
        <v>35</v>
      </c>
      <c r="L242" s="1">
        <f t="shared" si="3"/>
        <v>-26530684.809999999</v>
      </c>
      <c r="N242" s="6" t="str">
        <f>IF(ISERROR(VLOOKUP($A242,'Plano de Contas'!#REF!,8,FALSE)),"",VLOOKUP($A242,'Plano de Contas'!#REF!,8,FALSE))</f>
        <v/>
      </c>
      <c r="P242" s="6" t="str">
        <f>IF(ISERROR(VLOOKUP($A242,'Plano de Contas'!#REF!,10,FALSE)),"",VLOOKUP($A242,'Plano de Contas'!#REF!,10,FALSE))</f>
        <v/>
      </c>
    </row>
    <row r="243" spans="1:16" x14ac:dyDescent="0.25">
      <c r="A243" t="s">
        <v>435</v>
      </c>
      <c r="B243">
        <v>104</v>
      </c>
      <c r="C243" t="s">
        <v>436</v>
      </c>
      <c r="D243" s="10">
        <v>4455797.41</v>
      </c>
      <c r="E243" t="s">
        <v>35</v>
      </c>
      <c r="F243">
        <v>0</v>
      </c>
      <c r="H243" s="10">
        <v>8862.23</v>
      </c>
      <c r="I243" t="s">
        <v>35</v>
      </c>
      <c r="J243" s="10">
        <v>4464659.6399999997</v>
      </c>
      <c r="K243" t="s">
        <v>35</v>
      </c>
      <c r="L243" s="1">
        <f t="shared" si="3"/>
        <v>-4464659.6399999997</v>
      </c>
      <c r="N243" s="6" t="str">
        <f>IF(ISERROR(VLOOKUP($A243,'Plano de Contas'!#REF!,8,FALSE)),"",VLOOKUP($A243,'Plano de Contas'!#REF!,8,FALSE))</f>
        <v/>
      </c>
      <c r="P243" s="6" t="str">
        <f>IF(ISERROR(VLOOKUP($A243,'Plano de Contas'!#REF!,10,FALSE)),"",VLOOKUP($A243,'Plano de Contas'!#REF!,10,FALSE))</f>
        <v/>
      </c>
    </row>
    <row r="244" spans="1:16" x14ac:dyDescent="0.25">
      <c r="A244" t="s">
        <v>437</v>
      </c>
      <c r="B244">
        <v>105</v>
      </c>
      <c r="C244" t="s">
        <v>438</v>
      </c>
      <c r="D244" s="10">
        <v>21455026.739999998</v>
      </c>
      <c r="E244" t="s">
        <v>35</v>
      </c>
      <c r="F244">
        <v>0</v>
      </c>
      <c r="H244" s="10">
        <v>57573.03</v>
      </c>
      <c r="I244" t="s">
        <v>35</v>
      </c>
      <c r="J244" s="10">
        <v>21512599.77</v>
      </c>
      <c r="K244" t="s">
        <v>35</v>
      </c>
      <c r="L244" s="1">
        <f t="shared" si="3"/>
        <v>-21512599.77</v>
      </c>
      <c r="N244" s="6" t="str">
        <f>IF(ISERROR(VLOOKUP($A244,'Plano de Contas'!#REF!,8,FALSE)),"",VLOOKUP($A244,'Plano de Contas'!#REF!,8,FALSE))</f>
        <v/>
      </c>
      <c r="P244" s="6" t="str">
        <f>IF(ISERROR(VLOOKUP($A244,'Plano de Contas'!#REF!,10,FALSE)),"",VLOOKUP($A244,'Plano de Contas'!#REF!,10,FALSE))</f>
        <v/>
      </c>
    </row>
    <row r="245" spans="1:16" x14ac:dyDescent="0.25">
      <c r="A245" t="s">
        <v>439</v>
      </c>
      <c r="B245">
        <v>106</v>
      </c>
      <c r="C245" t="s">
        <v>440</v>
      </c>
      <c r="D245" s="10">
        <v>131809.38</v>
      </c>
      <c r="E245" t="s">
        <v>35</v>
      </c>
      <c r="F245">
        <v>0</v>
      </c>
      <c r="H245">
        <v>0</v>
      </c>
      <c r="J245" s="10">
        <v>131809.38</v>
      </c>
      <c r="K245" t="s">
        <v>35</v>
      </c>
      <c r="L245" s="1">
        <f t="shared" si="3"/>
        <v>-131809.38</v>
      </c>
      <c r="N245" s="6" t="str">
        <f>IF(ISERROR(VLOOKUP($A245,'Plano de Contas'!#REF!,8,FALSE)),"",VLOOKUP($A245,'Plano de Contas'!#REF!,8,FALSE))</f>
        <v/>
      </c>
      <c r="P245" s="6" t="str">
        <f>IF(ISERROR(VLOOKUP($A245,'Plano de Contas'!#REF!,10,FALSE)),"",VLOOKUP($A245,'Plano de Contas'!#REF!,10,FALSE))</f>
        <v/>
      </c>
    </row>
    <row r="246" spans="1:16" x14ac:dyDescent="0.25">
      <c r="A246" t="s">
        <v>441</v>
      </c>
      <c r="B246">
        <v>107</v>
      </c>
      <c r="C246" t="s">
        <v>442</v>
      </c>
      <c r="D246" s="10">
        <v>-131123.26999999999</v>
      </c>
      <c r="F246">
        <v>0</v>
      </c>
      <c r="H246">
        <v>0</v>
      </c>
      <c r="J246" s="10">
        <v>-131123.26999999999</v>
      </c>
      <c r="L246" s="1">
        <f t="shared" si="3"/>
        <v>-131123.26999999999</v>
      </c>
      <c r="N246" s="6" t="str">
        <f>IF(ISERROR(VLOOKUP($A246,'Plano de Contas'!#REF!,8,FALSE)),"",VLOOKUP($A246,'Plano de Contas'!#REF!,8,FALSE))</f>
        <v/>
      </c>
      <c r="P246" s="6" t="str">
        <f>IF(ISERROR(VLOOKUP($A246,'Plano de Contas'!#REF!,10,FALSE)),"",VLOOKUP($A246,'Plano de Contas'!#REF!,10,FALSE))</f>
        <v/>
      </c>
    </row>
    <row r="247" spans="1:16" x14ac:dyDescent="0.25">
      <c r="A247" t="s">
        <v>443</v>
      </c>
      <c r="B247">
        <v>108</v>
      </c>
      <c r="C247" t="s">
        <v>444</v>
      </c>
      <c r="D247" s="10">
        <v>264529.94</v>
      </c>
      <c r="E247" t="s">
        <v>35</v>
      </c>
      <c r="F247">
        <v>0</v>
      </c>
      <c r="H247">
        <v>0</v>
      </c>
      <c r="J247" s="10">
        <v>264529.94</v>
      </c>
      <c r="K247" t="s">
        <v>35</v>
      </c>
      <c r="L247" s="35">
        <f t="shared" si="3"/>
        <v>-264529.94</v>
      </c>
      <c r="N247" s="6" t="str">
        <f>IF(ISERROR(VLOOKUP($A247,'Plano de Contas'!#REF!,8,FALSE)),"",VLOOKUP($A247,'Plano de Contas'!#REF!,8,FALSE))</f>
        <v/>
      </c>
      <c r="P247" s="6" t="str">
        <f>IF(ISERROR(VLOOKUP($A247,'Plano de Contas'!#REF!,10,FALSE)),"",VLOOKUP($A247,'Plano de Contas'!#REF!,10,FALSE))</f>
        <v/>
      </c>
    </row>
    <row r="248" spans="1:16" x14ac:dyDescent="0.25">
      <c r="A248" t="s">
        <v>445</v>
      </c>
      <c r="B248">
        <v>463</v>
      </c>
      <c r="C248" t="s">
        <v>446</v>
      </c>
      <c r="D248" s="10">
        <v>25715.96</v>
      </c>
      <c r="E248" t="s">
        <v>35</v>
      </c>
      <c r="F248">
        <v>0</v>
      </c>
      <c r="H248">
        <v>246.85</v>
      </c>
      <c r="I248" t="s">
        <v>35</v>
      </c>
      <c r="J248" s="10">
        <v>25962.81</v>
      </c>
      <c r="K248" t="s">
        <v>35</v>
      </c>
      <c r="L248" s="1">
        <f t="shared" si="3"/>
        <v>-25962.81</v>
      </c>
      <c r="N248" s="6" t="str">
        <f>IF(ISERROR(VLOOKUP($A248,'Plano de Contas'!#REF!,8,FALSE)),"",VLOOKUP($A248,'Plano de Contas'!#REF!,8,FALSE))</f>
        <v/>
      </c>
      <c r="P248" s="6" t="str">
        <f>IF(ISERROR(VLOOKUP($A248,'Plano de Contas'!#REF!,10,FALSE)),"",VLOOKUP($A248,'Plano de Contas'!#REF!,10,FALSE))</f>
        <v/>
      </c>
    </row>
    <row r="249" spans="1:16" x14ac:dyDescent="0.25">
      <c r="L249" s="1">
        <f t="shared" si="3"/>
        <v>0</v>
      </c>
      <c r="N249" s="6" t="str">
        <f>IF(ISERROR(VLOOKUP($A249,'Plano de Contas'!#REF!,8,FALSE)),"",VLOOKUP($A249,'Plano de Contas'!#REF!,8,FALSE))</f>
        <v/>
      </c>
      <c r="P249" s="6" t="str">
        <f>IF(ISERROR(VLOOKUP($A249,'Plano de Contas'!#REF!,10,FALSE)),"",VLOOKUP($A249,'Plano de Contas'!#REF!,10,FALSE))</f>
        <v/>
      </c>
    </row>
    <row r="250" spans="1:16" x14ac:dyDescent="0.25">
      <c r="A250" t="s">
        <v>447</v>
      </c>
      <c r="B250">
        <v>784</v>
      </c>
      <c r="C250" t="s">
        <v>448</v>
      </c>
      <c r="D250" s="10">
        <v>29811769.449999999</v>
      </c>
      <c r="F250">
        <v>0</v>
      </c>
      <c r="H250" s="10">
        <v>29170.34</v>
      </c>
      <c r="I250" t="s">
        <v>35</v>
      </c>
      <c r="J250" s="10">
        <v>29782599.109999999</v>
      </c>
      <c r="L250" s="35">
        <f t="shared" si="3"/>
        <v>29782599.109999999</v>
      </c>
      <c r="N250" s="6" t="str">
        <f>IF(ISERROR(VLOOKUP($A250,'Plano de Contas'!#REF!,8,FALSE)),"",VLOOKUP($A250,'Plano de Contas'!#REF!,8,FALSE))</f>
        <v/>
      </c>
      <c r="P250" s="6" t="str">
        <f>IF(ISERROR(VLOOKUP($A250,'Plano de Contas'!#REF!,10,FALSE)),"",VLOOKUP($A250,'Plano de Contas'!#REF!,10,FALSE))</f>
        <v/>
      </c>
    </row>
    <row r="251" spans="1:16" x14ac:dyDescent="0.25">
      <c r="L251" s="35">
        <f t="shared" si="3"/>
        <v>0</v>
      </c>
      <c r="N251" s="6" t="str">
        <f>IF(ISERROR(VLOOKUP($A251,'Plano de Contas'!#REF!,8,FALSE)),"",VLOOKUP($A251,'Plano de Contas'!#REF!,8,FALSE))</f>
        <v/>
      </c>
      <c r="P251" s="6" t="str">
        <f>IF(ISERROR(VLOOKUP($A251,'Plano de Contas'!#REF!,10,FALSE)),"",VLOOKUP($A251,'Plano de Contas'!#REF!,10,FALSE))</f>
        <v/>
      </c>
    </row>
    <row r="252" spans="1:16" x14ac:dyDescent="0.25">
      <c r="A252" t="s">
        <v>449</v>
      </c>
      <c r="B252">
        <v>785</v>
      </c>
      <c r="C252" t="s">
        <v>450</v>
      </c>
      <c r="D252" s="10">
        <v>30799083.100000001</v>
      </c>
      <c r="F252">
        <v>0</v>
      </c>
      <c r="H252">
        <v>0</v>
      </c>
      <c r="J252" s="10">
        <v>30799083.100000001</v>
      </c>
      <c r="L252" s="1">
        <f t="shared" si="3"/>
        <v>30799083.100000001</v>
      </c>
      <c r="N252" s="6" t="str">
        <f>IF(ISERROR(VLOOKUP($A252,'Plano de Contas'!#REF!,8,FALSE)),"",VLOOKUP($A252,'Plano de Contas'!#REF!,8,FALSE))</f>
        <v/>
      </c>
      <c r="P252" s="6" t="str">
        <f>IF(ISERROR(VLOOKUP($A252,'Plano de Contas'!#REF!,10,FALSE)),"",VLOOKUP($A252,'Plano de Contas'!#REF!,10,FALSE))</f>
        <v/>
      </c>
    </row>
    <row r="253" spans="1:16" x14ac:dyDescent="0.25">
      <c r="A253" t="s">
        <v>451</v>
      </c>
      <c r="B253">
        <v>786</v>
      </c>
      <c r="C253" t="s">
        <v>452</v>
      </c>
      <c r="D253" s="10">
        <v>615000</v>
      </c>
      <c r="F253">
        <v>0</v>
      </c>
      <c r="H253">
        <v>0</v>
      </c>
      <c r="J253" s="10">
        <v>615000</v>
      </c>
      <c r="L253" s="1">
        <f t="shared" si="3"/>
        <v>615000</v>
      </c>
      <c r="N253" s="6" t="str">
        <f>IF(ISERROR(VLOOKUP($A253,'Plano de Contas'!#REF!,8,FALSE)),"",VLOOKUP($A253,'Plano de Contas'!#REF!,8,FALSE))</f>
        <v/>
      </c>
      <c r="P253" s="6" t="str">
        <f>IF(ISERROR(VLOOKUP($A253,'Plano de Contas'!#REF!,10,FALSE)),"",VLOOKUP($A253,'Plano de Contas'!#REF!,10,FALSE))</f>
        <v/>
      </c>
    </row>
    <row r="254" spans="1:16" x14ac:dyDescent="0.25">
      <c r="A254" t="s">
        <v>453</v>
      </c>
      <c r="B254">
        <v>830</v>
      </c>
      <c r="C254" t="s">
        <v>454</v>
      </c>
      <c r="D254" s="10">
        <v>142710.35</v>
      </c>
      <c r="F254">
        <v>0</v>
      </c>
      <c r="H254">
        <v>0</v>
      </c>
      <c r="J254" s="10">
        <v>142710.35</v>
      </c>
      <c r="L254" s="35">
        <f t="shared" si="3"/>
        <v>142710.35</v>
      </c>
      <c r="N254" s="6" t="str">
        <f>IF(ISERROR(VLOOKUP($A254,'Plano de Contas'!#REF!,8,FALSE)),"",VLOOKUP($A254,'Plano de Contas'!#REF!,8,FALSE))</f>
        <v/>
      </c>
      <c r="P254" s="6" t="str">
        <f>IF(ISERROR(VLOOKUP($A254,'Plano de Contas'!#REF!,10,FALSE)),"",VLOOKUP($A254,'Plano de Contas'!#REF!,10,FALSE))</f>
        <v/>
      </c>
    </row>
    <row r="255" spans="1:16" x14ac:dyDescent="0.25">
      <c r="A255" t="s">
        <v>455</v>
      </c>
      <c r="B255">
        <v>831</v>
      </c>
      <c r="C255" t="s">
        <v>456</v>
      </c>
      <c r="D255" s="10">
        <v>142040.47</v>
      </c>
      <c r="F255">
        <v>0</v>
      </c>
      <c r="H255">
        <v>0</v>
      </c>
      <c r="J255" s="10">
        <v>142040.47</v>
      </c>
      <c r="L255" s="35">
        <f t="shared" si="3"/>
        <v>142040.47</v>
      </c>
      <c r="N255" s="6" t="str">
        <f>IF(ISERROR(VLOOKUP($A255,'Plano de Contas'!#REF!,8,FALSE)),"",VLOOKUP($A255,'Plano de Contas'!#REF!,8,FALSE))</f>
        <v/>
      </c>
      <c r="P255" s="6" t="str">
        <f>IF(ISERROR(VLOOKUP($A255,'Plano de Contas'!#REF!,10,FALSE)),"",VLOOKUP($A255,'Plano de Contas'!#REF!,10,FALSE))</f>
        <v/>
      </c>
    </row>
    <row r="256" spans="1:16" x14ac:dyDescent="0.25">
      <c r="A256" t="s">
        <v>457</v>
      </c>
      <c r="B256">
        <v>866</v>
      </c>
      <c r="C256" t="s">
        <v>458</v>
      </c>
      <c r="D256" s="10">
        <v>1787658.7</v>
      </c>
      <c r="F256">
        <v>0</v>
      </c>
      <c r="H256">
        <v>0</v>
      </c>
      <c r="J256" s="10">
        <v>1787658.7</v>
      </c>
      <c r="L256" s="1">
        <f t="shared" si="3"/>
        <v>1787658.7</v>
      </c>
      <c r="N256" s="6" t="str">
        <f>IF(ISERROR(VLOOKUP($A256,'Plano de Contas'!#REF!,8,FALSE)),"",VLOOKUP($A256,'Plano de Contas'!#REF!,8,FALSE))</f>
        <v/>
      </c>
      <c r="P256" s="6" t="str">
        <f>IF(ISERROR(VLOOKUP($A256,'Plano de Contas'!#REF!,10,FALSE)),"",VLOOKUP($A256,'Plano de Contas'!#REF!,10,FALSE))</f>
        <v/>
      </c>
    </row>
    <row r="257" spans="1:16" x14ac:dyDescent="0.25">
      <c r="A257" t="s">
        <v>459</v>
      </c>
      <c r="B257">
        <v>867</v>
      </c>
      <c r="C257" t="s">
        <v>460</v>
      </c>
      <c r="D257" s="10">
        <v>1905455.56</v>
      </c>
      <c r="F257">
        <v>0</v>
      </c>
      <c r="H257">
        <v>0</v>
      </c>
      <c r="J257" s="10">
        <v>1905455.56</v>
      </c>
      <c r="L257" s="1">
        <f t="shared" si="3"/>
        <v>1905455.56</v>
      </c>
      <c r="N257" s="6" t="str">
        <f>IF(ISERROR(VLOOKUP($A257,'Plano de Contas'!#REF!,8,FALSE)),"",VLOOKUP($A257,'Plano de Contas'!#REF!,8,FALSE))</f>
        <v/>
      </c>
      <c r="P257" s="6" t="str">
        <f>IF(ISERROR(VLOOKUP($A257,'Plano de Contas'!#REF!,10,FALSE)),"",VLOOKUP($A257,'Plano de Contas'!#REF!,10,FALSE))</f>
        <v/>
      </c>
    </row>
    <row r="258" spans="1:16" x14ac:dyDescent="0.25">
      <c r="A258" t="s">
        <v>461</v>
      </c>
      <c r="B258">
        <v>868</v>
      </c>
      <c r="C258" t="s">
        <v>462</v>
      </c>
      <c r="D258">
        <v>643.07000000000005</v>
      </c>
      <c r="F258">
        <v>0</v>
      </c>
      <c r="H258">
        <v>0</v>
      </c>
      <c r="J258">
        <v>643.07000000000005</v>
      </c>
      <c r="L258" s="1">
        <f t="shared" si="3"/>
        <v>643.07000000000005</v>
      </c>
      <c r="N258" s="6" t="str">
        <f>IF(ISERROR(VLOOKUP($A258,'Plano de Contas'!#REF!,8,FALSE)),"",VLOOKUP($A258,'Plano de Contas'!#REF!,8,FALSE))</f>
        <v/>
      </c>
      <c r="P258" s="6" t="str">
        <f>IF(ISERROR(VLOOKUP($A258,'Plano de Contas'!#REF!,10,FALSE)),"",VLOOKUP($A258,'Plano de Contas'!#REF!,10,FALSE))</f>
        <v/>
      </c>
    </row>
    <row r="259" spans="1:16" x14ac:dyDescent="0.25">
      <c r="A259" t="s">
        <v>463</v>
      </c>
      <c r="B259">
        <v>869</v>
      </c>
      <c r="C259" t="s">
        <v>464</v>
      </c>
      <c r="D259" s="10">
        <v>50864.08</v>
      </c>
      <c r="F259">
        <v>0</v>
      </c>
      <c r="H259">
        <v>0</v>
      </c>
      <c r="J259" s="10">
        <v>50864.08</v>
      </c>
      <c r="L259" s="1">
        <f t="shared" si="3"/>
        <v>50864.08</v>
      </c>
      <c r="N259" s="6" t="str">
        <f>IF(ISERROR(VLOOKUP($A259,'Plano de Contas'!#REF!,8,FALSE)),"",VLOOKUP($A259,'Plano de Contas'!#REF!,8,FALSE))</f>
        <v/>
      </c>
      <c r="P259" s="6" t="str">
        <f>IF(ISERROR(VLOOKUP($A259,'Plano de Contas'!#REF!,10,FALSE)),"",VLOOKUP($A259,'Plano de Contas'!#REF!,10,FALSE))</f>
        <v/>
      </c>
    </row>
    <row r="260" spans="1:16" x14ac:dyDescent="0.25">
      <c r="A260" t="s">
        <v>465</v>
      </c>
      <c r="B260">
        <v>870</v>
      </c>
      <c r="C260" t="s">
        <v>466</v>
      </c>
      <c r="D260" s="10">
        <v>1244022.53</v>
      </c>
      <c r="F260">
        <v>0</v>
      </c>
      <c r="H260">
        <v>0</v>
      </c>
      <c r="J260" s="10">
        <v>1244022.53</v>
      </c>
      <c r="L260" s="1">
        <f t="shared" si="3"/>
        <v>1244022.53</v>
      </c>
      <c r="N260" s="6" t="str">
        <f>IF(ISERROR(VLOOKUP($A260,'Plano de Contas'!#REF!,8,FALSE)),"",VLOOKUP($A260,'Plano de Contas'!#REF!,8,FALSE))</f>
        <v/>
      </c>
      <c r="P260" s="6" t="str">
        <f>IF(ISERROR(VLOOKUP($A260,'Plano de Contas'!#REF!,10,FALSE)),"",VLOOKUP($A260,'Plano de Contas'!#REF!,10,FALSE))</f>
        <v/>
      </c>
    </row>
    <row r="261" spans="1:16" x14ac:dyDescent="0.25">
      <c r="A261" t="s">
        <v>467</v>
      </c>
      <c r="B261">
        <v>871</v>
      </c>
      <c r="C261" t="s">
        <v>468</v>
      </c>
      <c r="D261" s="10">
        <v>700000</v>
      </c>
      <c r="F261">
        <v>0</v>
      </c>
      <c r="H261">
        <v>0</v>
      </c>
      <c r="J261" s="10">
        <v>700000</v>
      </c>
      <c r="L261" s="1">
        <f t="shared" si="3"/>
        <v>700000</v>
      </c>
      <c r="N261" s="6" t="str">
        <f>IF(ISERROR(VLOOKUP($A261,'Plano de Contas'!#REF!,8,FALSE)),"",VLOOKUP($A261,'Plano de Contas'!#REF!,8,FALSE))</f>
        <v/>
      </c>
      <c r="P261" s="6" t="str">
        <f>IF(ISERROR(VLOOKUP($A261,'Plano de Contas'!#REF!,10,FALSE)),"",VLOOKUP($A261,'Plano de Contas'!#REF!,10,FALSE))</f>
        <v/>
      </c>
    </row>
    <row r="262" spans="1:16" x14ac:dyDescent="0.25">
      <c r="A262" t="s">
        <v>469</v>
      </c>
      <c r="B262">
        <v>872</v>
      </c>
      <c r="C262" t="s">
        <v>470</v>
      </c>
      <c r="D262" s="10">
        <v>149771.41</v>
      </c>
      <c r="F262">
        <v>0</v>
      </c>
      <c r="H262">
        <v>0</v>
      </c>
      <c r="J262" s="10">
        <v>149771.41</v>
      </c>
      <c r="L262" s="1">
        <f t="shared" si="3"/>
        <v>149771.41</v>
      </c>
      <c r="N262" s="6" t="str">
        <f>IF(ISERROR(VLOOKUP($A262,'Plano de Contas'!#REF!,8,FALSE)),"",VLOOKUP($A262,'Plano de Contas'!#REF!,8,FALSE))</f>
        <v/>
      </c>
      <c r="P262" s="6" t="str">
        <f>IF(ISERROR(VLOOKUP($A262,'Plano de Contas'!#REF!,10,FALSE)),"",VLOOKUP($A262,'Plano de Contas'!#REF!,10,FALSE))</f>
        <v/>
      </c>
    </row>
    <row r="263" spans="1:16" x14ac:dyDescent="0.25">
      <c r="A263" t="s">
        <v>471</v>
      </c>
      <c r="B263">
        <v>873</v>
      </c>
      <c r="C263" t="s">
        <v>472</v>
      </c>
      <c r="D263" s="10">
        <v>112895.46</v>
      </c>
      <c r="F263">
        <v>0</v>
      </c>
      <c r="H263">
        <v>0</v>
      </c>
      <c r="J263" s="10">
        <v>112895.46</v>
      </c>
      <c r="L263" s="1">
        <f t="shared" si="3"/>
        <v>112895.46</v>
      </c>
      <c r="N263" s="6" t="str">
        <f>IF(ISERROR(VLOOKUP($A263,'Plano de Contas'!#REF!,8,FALSE)),"",VLOOKUP($A263,'Plano de Contas'!#REF!,8,FALSE))</f>
        <v/>
      </c>
      <c r="P263" s="6" t="str">
        <f>IF(ISERROR(VLOOKUP($A263,'Plano de Contas'!#REF!,10,FALSE)),"",VLOOKUP($A263,'Plano de Contas'!#REF!,10,FALSE))</f>
        <v/>
      </c>
    </row>
    <row r="264" spans="1:16" x14ac:dyDescent="0.25">
      <c r="A264" t="s">
        <v>473</v>
      </c>
      <c r="B264">
        <v>874</v>
      </c>
      <c r="C264" t="s">
        <v>474</v>
      </c>
      <c r="D264" s="10">
        <v>278420.59000000003</v>
      </c>
      <c r="F264">
        <v>0</v>
      </c>
      <c r="H264">
        <v>0</v>
      </c>
      <c r="J264" s="10">
        <v>278420.59000000003</v>
      </c>
      <c r="L264" s="1">
        <f t="shared" ref="L264:L327" si="4">IF(K264="-",-J264,J264)</f>
        <v>278420.59000000003</v>
      </c>
      <c r="N264" s="6" t="str">
        <f>IF(ISERROR(VLOOKUP($A264,'Plano de Contas'!#REF!,8,FALSE)),"",VLOOKUP($A264,'Plano de Contas'!#REF!,8,FALSE))</f>
        <v/>
      </c>
      <c r="P264" s="6" t="str">
        <f>IF(ISERROR(VLOOKUP($A264,'Plano de Contas'!#REF!,10,FALSE)),"",VLOOKUP($A264,'Plano de Contas'!#REF!,10,FALSE))</f>
        <v/>
      </c>
    </row>
    <row r="265" spans="1:16" x14ac:dyDescent="0.25">
      <c r="A265" t="s">
        <v>475</v>
      </c>
      <c r="B265">
        <v>875</v>
      </c>
      <c r="C265" t="s">
        <v>476</v>
      </c>
      <c r="D265" s="10">
        <v>4026900.94</v>
      </c>
      <c r="F265">
        <v>0</v>
      </c>
      <c r="H265">
        <v>0</v>
      </c>
      <c r="J265" s="10">
        <v>4026900.94</v>
      </c>
      <c r="L265" s="1">
        <f t="shared" si="4"/>
        <v>4026900.94</v>
      </c>
      <c r="N265" s="6" t="str">
        <f>IF(ISERROR(VLOOKUP($A265,'Plano de Contas'!#REF!,8,FALSE)),"",VLOOKUP($A265,'Plano de Contas'!#REF!,8,FALSE))</f>
        <v/>
      </c>
      <c r="P265" s="6" t="str">
        <f>IF(ISERROR(VLOOKUP($A265,'Plano de Contas'!#REF!,10,FALSE)),"",VLOOKUP($A265,'Plano de Contas'!#REF!,10,FALSE))</f>
        <v/>
      </c>
    </row>
    <row r="266" spans="1:16" x14ac:dyDescent="0.25">
      <c r="A266" t="s">
        <v>477</v>
      </c>
      <c r="B266">
        <v>878</v>
      </c>
      <c r="C266" t="s">
        <v>478</v>
      </c>
      <c r="D266" s="10">
        <v>4338500.72</v>
      </c>
      <c r="F266">
        <v>0</v>
      </c>
      <c r="H266">
        <v>0</v>
      </c>
      <c r="J266" s="10">
        <v>4338500.72</v>
      </c>
      <c r="L266" s="1">
        <f t="shared" si="4"/>
        <v>4338500.72</v>
      </c>
      <c r="N266" s="6" t="str">
        <f>IF(ISERROR(VLOOKUP($A266,'Plano de Contas'!#REF!,8,FALSE)),"",VLOOKUP($A266,'Plano de Contas'!#REF!,8,FALSE))</f>
        <v/>
      </c>
      <c r="P266" s="6" t="str">
        <f>IF(ISERROR(VLOOKUP($A266,'Plano de Contas'!#REF!,10,FALSE)),"",VLOOKUP($A266,'Plano de Contas'!#REF!,10,FALSE))</f>
        <v/>
      </c>
    </row>
    <row r="267" spans="1:16" x14ac:dyDescent="0.25">
      <c r="A267" t="s">
        <v>479</v>
      </c>
      <c r="B267">
        <v>903</v>
      </c>
      <c r="C267" t="s">
        <v>480</v>
      </c>
      <c r="D267" s="10">
        <v>67744.5</v>
      </c>
      <c r="F267">
        <v>0</v>
      </c>
      <c r="H267">
        <v>0</v>
      </c>
      <c r="J267" s="10">
        <v>67744.5</v>
      </c>
      <c r="L267" s="1">
        <f t="shared" si="4"/>
        <v>67744.5</v>
      </c>
      <c r="N267" s="6" t="str">
        <f>IF(ISERROR(VLOOKUP($A267,'Plano de Contas'!#REF!,8,FALSE)),"",VLOOKUP($A267,'Plano de Contas'!#REF!,8,FALSE))</f>
        <v/>
      </c>
      <c r="P267" s="6" t="str">
        <f>IF(ISERROR(VLOOKUP($A267,'Plano de Contas'!#REF!,10,FALSE)),"",VLOOKUP($A267,'Plano de Contas'!#REF!,10,FALSE))</f>
        <v/>
      </c>
    </row>
    <row r="268" spans="1:16" x14ac:dyDescent="0.25">
      <c r="A268" t="s">
        <v>481</v>
      </c>
      <c r="B268">
        <v>913</v>
      </c>
      <c r="C268" t="s">
        <v>482</v>
      </c>
      <c r="D268" s="10">
        <v>14187623.130000001</v>
      </c>
      <c r="F268">
        <v>0</v>
      </c>
      <c r="H268">
        <v>0</v>
      </c>
      <c r="J268" s="10">
        <v>14187623.130000001</v>
      </c>
      <c r="L268" s="1">
        <f t="shared" si="4"/>
        <v>14187623.130000001</v>
      </c>
      <c r="N268" s="6" t="str">
        <f>IF(ISERROR(VLOOKUP($A268,'Plano de Contas'!#REF!,8,FALSE)),"",VLOOKUP($A268,'Plano de Contas'!#REF!,8,FALSE))</f>
        <v/>
      </c>
      <c r="P268" s="6" t="str">
        <f>IF(ISERROR(VLOOKUP($A268,'Plano de Contas'!#REF!,10,FALSE)),"",VLOOKUP($A268,'Plano de Contas'!#REF!,10,FALSE))</f>
        <v/>
      </c>
    </row>
    <row r="269" spans="1:16" x14ac:dyDescent="0.25">
      <c r="A269" t="s">
        <v>483</v>
      </c>
      <c r="B269">
        <v>932</v>
      </c>
      <c r="C269" t="s">
        <v>484</v>
      </c>
      <c r="D269" s="10">
        <v>703122</v>
      </c>
      <c r="F269">
        <v>0</v>
      </c>
      <c r="H269">
        <v>0</v>
      </c>
      <c r="J269" s="10">
        <v>703122</v>
      </c>
      <c r="L269" s="1">
        <f t="shared" si="4"/>
        <v>703122</v>
      </c>
      <c r="N269" s="6" t="str">
        <f>IF(ISERROR(VLOOKUP($A269,'Plano de Contas'!#REF!,8,FALSE)),"",VLOOKUP($A269,'Plano de Contas'!#REF!,8,FALSE))</f>
        <v/>
      </c>
      <c r="P269" s="6" t="str">
        <f>IF(ISERROR(VLOOKUP($A269,'Plano de Contas'!#REF!,10,FALSE)),"",VLOOKUP($A269,'Plano de Contas'!#REF!,10,FALSE))</f>
        <v/>
      </c>
    </row>
    <row r="270" spans="1:16" x14ac:dyDescent="0.25">
      <c r="A270" t="s">
        <v>485</v>
      </c>
      <c r="B270">
        <v>940</v>
      </c>
      <c r="C270" t="s">
        <v>486</v>
      </c>
      <c r="D270" s="10">
        <v>55011.1</v>
      </c>
      <c r="F270">
        <v>0</v>
      </c>
      <c r="H270">
        <v>0</v>
      </c>
      <c r="J270" s="10">
        <v>55011.1</v>
      </c>
      <c r="L270" s="1">
        <f t="shared" si="4"/>
        <v>55011.1</v>
      </c>
      <c r="N270" s="6" t="str">
        <f>IF(ISERROR(VLOOKUP($A270,'Plano de Contas'!#REF!,8,FALSE)),"",VLOOKUP($A270,'Plano de Contas'!#REF!,8,FALSE))</f>
        <v/>
      </c>
      <c r="P270" s="6" t="str">
        <f>IF(ISERROR(VLOOKUP($A270,'Plano de Contas'!#REF!,10,FALSE)),"",VLOOKUP($A270,'Plano de Contas'!#REF!,10,FALSE))</f>
        <v/>
      </c>
    </row>
    <row r="271" spans="1:16" x14ac:dyDescent="0.25">
      <c r="A271" t="s">
        <v>487</v>
      </c>
      <c r="B271">
        <v>947</v>
      </c>
      <c r="C271" t="s">
        <v>488</v>
      </c>
      <c r="D271" s="10">
        <v>290698.49</v>
      </c>
      <c r="F271">
        <v>0</v>
      </c>
      <c r="H271">
        <v>0</v>
      </c>
      <c r="J271" s="10">
        <v>290698.49</v>
      </c>
      <c r="L271" s="1">
        <f t="shared" si="4"/>
        <v>290698.49</v>
      </c>
      <c r="N271" s="6" t="str">
        <f>IF(ISERROR(VLOOKUP($A271,'Plano de Contas'!#REF!,8,FALSE)),"",VLOOKUP($A271,'Plano de Contas'!#REF!,8,FALSE))</f>
        <v/>
      </c>
      <c r="P271" s="6" t="str">
        <f>IF(ISERROR(VLOOKUP($A271,'Plano de Contas'!#REF!,10,FALSE)),"",VLOOKUP($A271,'Plano de Contas'!#REF!,10,FALSE))</f>
        <v/>
      </c>
    </row>
    <row r="272" spans="1:16" x14ac:dyDescent="0.25">
      <c r="L272" s="1">
        <f t="shared" si="4"/>
        <v>0</v>
      </c>
      <c r="N272" s="6" t="str">
        <f>IF(ISERROR(VLOOKUP($A272,'Plano de Contas'!#REF!,8,FALSE)),"",VLOOKUP($A272,'Plano de Contas'!#REF!,8,FALSE))</f>
        <v/>
      </c>
      <c r="P272" s="6" t="str">
        <f>IF(ISERROR(VLOOKUP($A272,'Plano de Contas'!#REF!,10,FALSE)),"",VLOOKUP($A272,'Plano de Contas'!#REF!,10,FALSE))</f>
        <v/>
      </c>
    </row>
    <row r="273" spans="1:16" x14ac:dyDescent="0.25">
      <c r="A273" t="s">
        <v>489</v>
      </c>
      <c r="B273">
        <v>876</v>
      </c>
      <c r="C273" t="s">
        <v>490</v>
      </c>
      <c r="D273" s="10">
        <v>989186.08</v>
      </c>
      <c r="E273" t="s">
        <v>35</v>
      </c>
      <c r="F273">
        <v>0</v>
      </c>
      <c r="H273" s="10">
        <v>29170.34</v>
      </c>
      <c r="I273" t="s">
        <v>35</v>
      </c>
      <c r="J273" s="10">
        <v>1018356.42</v>
      </c>
      <c r="K273" t="s">
        <v>35</v>
      </c>
      <c r="L273" s="1">
        <f t="shared" si="4"/>
        <v>-1018356.42</v>
      </c>
      <c r="N273" s="6" t="str">
        <f>IF(ISERROR(VLOOKUP($A273,'Plano de Contas'!#REF!,8,FALSE)),"",VLOOKUP($A273,'Plano de Contas'!#REF!,8,FALSE))</f>
        <v/>
      </c>
      <c r="P273" s="6" t="str">
        <f>IF(ISERROR(VLOOKUP($A273,'Plano de Contas'!#REF!,10,FALSE)),"",VLOOKUP($A273,'Plano de Contas'!#REF!,10,FALSE))</f>
        <v/>
      </c>
    </row>
    <row r="274" spans="1:16" x14ac:dyDescent="0.25">
      <c r="A274" t="s">
        <v>491</v>
      </c>
      <c r="B274">
        <v>889</v>
      </c>
      <c r="C274" t="s">
        <v>492</v>
      </c>
      <c r="D274" s="10">
        <v>-494585.68</v>
      </c>
      <c r="F274">
        <v>0</v>
      </c>
      <c r="H274" s="10">
        <v>-14897.16</v>
      </c>
      <c r="J274" s="10">
        <v>-509482.84</v>
      </c>
      <c r="L274" s="1">
        <f t="shared" si="4"/>
        <v>-509482.84</v>
      </c>
      <c r="N274" s="6" t="str">
        <f>IF(ISERROR(VLOOKUP($A274,'Plano de Contas'!#REF!,8,FALSE)),"",VLOOKUP($A274,'Plano de Contas'!#REF!,8,FALSE))</f>
        <v/>
      </c>
      <c r="P274" s="6" t="str">
        <f>IF(ISERROR(VLOOKUP($A274,'Plano de Contas'!#REF!,10,FALSE)),"",VLOOKUP($A274,'Plano de Contas'!#REF!,10,FALSE))</f>
        <v/>
      </c>
    </row>
    <row r="275" spans="1:16" x14ac:dyDescent="0.25">
      <c r="A275" t="s">
        <v>493</v>
      </c>
      <c r="B275">
        <v>890</v>
      </c>
      <c r="C275" t="s">
        <v>494</v>
      </c>
      <c r="D275" s="10">
        <v>450461.2</v>
      </c>
      <c r="E275" t="s">
        <v>35</v>
      </c>
      <c r="F275">
        <v>0</v>
      </c>
      <c r="H275" s="10">
        <v>14273.18</v>
      </c>
      <c r="I275" t="s">
        <v>35</v>
      </c>
      <c r="J275" s="10">
        <v>464734.38</v>
      </c>
      <c r="K275" t="s">
        <v>35</v>
      </c>
      <c r="L275" s="1">
        <f t="shared" si="4"/>
        <v>-464734.38</v>
      </c>
      <c r="N275" s="6" t="str">
        <f>IF(ISERROR(VLOOKUP($A275,'Plano de Contas'!#REF!,8,FALSE)),"",VLOOKUP($A275,'Plano de Contas'!#REF!,8,FALSE))</f>
        <v/>
      </c>
      <c r="P275" s="6" t="str">
        <f>IF(ISERROR(VLOOKUP($A275,'Plano de Contas'!#REF!,10,FALSE)),"",VLOOKUP($A275,'Plano de Contas'!#REF!,10,FALSE))</f>
        <v/>
      </c>
    </row>
    <row r="276" spans="1:16" x14ac:dyDescent="0.25">
      <c r="A276" t="s">
        <v>495</v>
      </c>
      <c r="B276">
        <v>891</v>
      </c>
      <c r="C276" t="s">
        <v>496</v>
      </c>
      <c r="D276">
        <v>-17.12</v>
      </c>
      <c r="F276">
        <v>0</v>
      </c>
      <c r="H276">
        <v>0</v>
      </c>
      <c r="J276">
        <v>-17.12</v>
      </c>
      <c r="L276" s="1">
        <f t="shared" si="4"/>
        <v>-17.12</v>
      </c>
      <c r="N276" s="6" t="str">
        <f>IF(ISERROR(VLOOKUP($A276,'Plano de Contas'!#REF!,8,FALSE)),"",VLOOKUP($A276,'Plano de Contas'!#REF!,8,FALSE))</f>
        <v/>
      </c>
      <c r="P276" s="6" t="str">
        <f>IF(ISERROR(VLOOKUP($A276,'Plano de Contas'!#REF!,10,FALSE)),"",VLOOKUP($A276,'Plano de Contas'!#REF!,10,FALSE))</f>
        <v/>
      </c>
    </row>
    <row r="277" spans="1:16" x14ac:dyDescent="0.25">
      <c r="A277" t="s">
        <v>497</v>
      </c>
      <c r="B277">
        <v>892</v>
      </c>
      <c r="C277" t="s">
        <v>498</v>
      </c>
      <c r="D277" s="10">
        <v>-1356.32</v>
      </c>
      <c r="F277">
        <v>0</v>
      </c>
      <c r="H277">
        <v>0</v>
      </c>
      <c r="J277" s="10">
        <v>-1356.32</v>
      </c>
      <c r="L277" s="1">
        <f t="shared" si="4"/>
        <v>-1356.32</v>
      </c>
      <c r="N277" s="6" t="str">
        <f>IF(ISERROR(VLOOKUP($A277,'Plano de Contas'!#REF!,8,FALSE)),"",VLOOKUP($A277,'Plano de Contas'!#REF!,8,FALSE))</f>
        <v/>
      </c>
      <c r="P277" s="6" t="str">
        <f>IF(ISERROR(VLOOKUP($A277,'Plano de Contas'!#REF!,10,FALSE)),"",VLOOKUP($A277,'Plano de Contas'!#REF!,10,FALSE))</f>
        <v/>
      </c>
    </row>
    <row r="278" spans="1:16" x14ac:dyDescent="0.25">
      <c r="A278" t="s">
        <v>499</v>
      </c>
      <c r="B278">
        <v>893</v>
      </c>
      <c r="C278" t="s">
        <v>500</v>
      </c>
      <c r="D278" s="10">
        <v>7957.6</v>
      </c>
      <c r="E278" t="s">
        <v>35</v>
      </c>
      <c r="F278">
        <v>0</v>
      </c>
      <c r="H278">
        <v>0</v>
      </c>
      <c r="J278" s="10">
        <v>7957.6</v>
      </c>
      <c r="K278" t="s">
        <v>35</v>
      </c>
      <c r="L278" s="1">
        <f t="shared" si="4"/>
        <v>-7957.6</v>
      </c>
      <c r="N278" s="6" t="str">
        <f>IF(ISERROR(VLOOKUP($A278,'Plano de Contas'!#REF!,8,FALSE)),"",VLOOKUP($A278,'Plano de Contas'!#REF!,8,FALSE))</f>
        <v/>
      </c>
      <c r="P278" s="6" t="str">
        <f>IF(ISERROR(VLOOKUP($A278,'Plano de Contas'!#REF!,10,FALSE)),"",VLOOKUP($A278,'Plano de Contas'!#REF!,10,FALSE))</f>
        <v/>
      </c>
    </row>
    <row r="279" spans="1:16" x14ac:dyDescent="0.25">
      <c r="A279" t="s">
        <v>501</v>
      </c>
      <c r="B279">
        <v>894</v>
      </c>
      <c r="C279" t="s">
        <v>502</v>
      </c>
      <c r="D279" s="10">
        <v>18666.72</v>
      </c>
      <c r="E279" t="s">
        <v>35</v>
      </c>
      <c r="F279">
        <v>0</v>
      </c>
      <c r="H279">
        <v>0</v>
      </c>
      <c r="J279" s="10">
        <v>18666.72</v>
      </c>
      <c r="K279" t="s">
        <v>35</v>
      </c>
      <c r="L279" s="1">
        <f t="shared" si="4"/>
        <v>-18666.72</v>
      </c>
      <c r="N279" s="6" t="str">
        <f>IF(ISERROR(VLOOKUP($A279,'Plano de Contas'!#REF!,8,FALSE)),"",VLOOKUP($A279,'Plano de Contas'!#REF!,8,FALSE))</f>
        <v/>
      </c>
      <c r="P279" s="6" t="str">
        <f>IF(ISERROR(VLOOKUP($A279,'Plano de Contas'!#REF!,10,FALSE)),"",VLOOKUP($A279,'Plano de Contas'!#REF!,10,FALSE))</f>
        <v/>
      </c>
    </row>
    <row r="280" spans="1:16" x14ac:dyDescent="0.25">
      <c r="A280" t="s">
        <v>503</v>
      </c>
      <c r="B280">
        <v>895</v>
      </c>
      <c r="C280" t="s">
        <v>504</v>
      </c>
      <c r="D280">
        <v>255.68</v>
      </c>
      <c r="E280" t="s">
        <v>35</v>
      </c>
      <c r="F280">
        <v>0</v>
      </c>
      <c r="H280">
        <v>0</v>
      </c>
      <c r="J280">
        <v>255.68</v>
      </c>
      <c r="K280" t="s">
        <v>35</v>
      </c>
      <c r="L280" s="1">
        <f t="shared" si="4"/>
        <v>-255.68</v>
      </c>
      <c r="N280" s="6" t="str">
        <f>IF(ISERROR(VLOOKUP($A280,'Plano de Contas'!#REF!,8,FALSE)),"",VLOOKUP($A280,'Plano de Contas'!#REF!,8,FALSE))</f>
        <v/>
      </c>
      <c r="P280" s="6" t="str">
        <f>IF(ISERROR(VLOOKUP($A280,'Plano de Contas'!#REF!,10,FALSE)),"",VLOOKUP($A280,'Plano de Contas'!#REF!,10,FALSE))</f>
        <v/>
      </c>
    </row>
    <row r="281" spans="1:16" x14ac:dyDescent="0.25">
      <c r="A281" t="s">
        <v>505</v>
      </c>
      <c r="B281">
        <v>899</v>
      </c>
      <c r="C281" t="s">
        <v>506</v>
      </c>
      <c r="D281" s="10">
        <v>15885.76</v>
      </c>
      <c r="E281" t="s">
        <v>35</v>
      </c>
      <c r="F281">
        <v>0</v>
      </c>
      <c r="H281">
        <v>0</v>
      </c>
      <c r="J281" s="10">
        <v>15885.76</v>
      </c>
      <c r="K281" t="s">
        <v>35</v>
      </c>
      <c r="L281" s="1">
        <f t="shared" si="4"/>
        <v>-15885.76</v>
      </c>
      <c r="N281" s="6" t="str">
        <f>IF(ISERROR(VLOOKUP($A281,'Plano de Contas'!#REF!,8,FALSE)),"",VLOOKUP($A281,'Plano de Contas'!#REF!,8,FALSE))</f>
        <v/>
      </c>
      <c r="P281" s="6" t="str">
        <f>IF(ISERROR(VLOOKUP($A281,'Plano de Contas'!#REF!,10,FALSE)),"",VLOOKUP($A281,'Plano de Contas'!#REF!,10,FALSE))</f>
        <v/>
      </c>
    </row>
    <row r="282" spans="1:16" x14ac:dyDescent="0.25">
      <c r="L282" s="1">
        <f t="shared" si="4"/>
        <v>0</v>
      </c>
      <c r="N282" s="6" t="str">
        <f>IF(ISERROR(VLOOKUP($A282,'Plano de Contas'!#REF!,8,FALSE)),"",VLOOKUP($A282,'Plano de Contas'!#REF!,8,FALSE))</f>
        <v/>
      </c>
      <c r="P282" s="6" t="str">
        <f>IF(ISERROR(VLOOKUP($A282,'Plano de Contas'!#REF!,10,FALSE)),"",VLOOKUP($A282,'Plano de Contas'!#REF!,10,FALSE))</f>
        <v/>
      </c>
    </row>
    <row r="283" spans="1:16" x14ac:dyDescent="0.25">
      <c r="A283" t="s">
        <v>507</v>
      </c>
      <c r="B283">
        <v>904</v>
      </c>
      <c r="C283" t="s">
        <v>369</v>
      </c>
      <c r="D283" s="10">
        <v>1872.43</v>
      </c>
      <c r="F283">
        <v>0</v>
      </c>
      <c r="H283">
        <v>0</v>
      </c>
      <c r="J283" s="10">
        <v>1872.43</v>
      </c>
      <c r="L283" s="1">
        <f t="shared" si="4"/>
        <v>1872.43</v>
      </c>
      <c r="N283" s="6" t="str">
        <f>IF(ISERROR(VLOOKUP($A283,'Plano de Contas'!#REF!,8,FALSE)),"",VLOOKUP($A283,'Plano de Contas'!#REF!,8,FALSE))</f>
        <v/>
      </c>
      <c r="P283" s="6" t="str">
        <f>IF(ISERROR(VLOOKUP($A283,'Plano de Contas'!#REF!,10,FALSE)),"",VLOOKUP($A283,'Plano de Contas'!#REF!,10,FALSE))</f>
        <v/>
      </c>
    </row>
    <row r="284" spans="1:16" x14ac:dyDescent="0.25">
      <c r="A284" t="s">
        <v>508</v>
      </c>
      <c r="B284">
        <v>905</v>
      </c>
      <c r="C284" t="s">
        <v>509</v>
      </c>
      <c r="D284" s="10">
        <v>1872.43</v>
      </c>
      <c r="F284">
        <v>0</v>
      </c>
      <c r="H284">
        <v>0</v>
      </c>
      <c r="J284" s="10">
        <v>1872.43</v>
      </c>
      <c r="L284" s="1">
        <f t="shared" si="4"/>
        <v>1872.43</v>
      </c>
      <c r="N284" s="6" t="str">
        <f>IF(ISERROR(VLOOKUP($A284,'Plano de Contas'!#REF!,8,FALSE)),"",VLOOKUP($A284,'Plano de Contas'!#REF!,8,FALSE))</f>
        <v/>
      </c>
      <c r="P284" s="6" t="str">
        <f>IF(ISERROR(VLOOKUP($A284,'Plano de Contas'!#REF!,10,FALSE)),"",VLOOKUP($A284,'Plano de Contas'!#REF!,10,FALSE))</f>
        <v/>
      </c>
    </row>
    <row r="285" spans="1:16" x14ac:dyDescent="0.25">
      <c r="L285" s="1">
        <f t="shared" si="4"/>
        <v>0</v>
      </c>
      <c r="N285" s="6" t="str">
        <f>IF(ISERROR(VLOOKUP($A285,'Plano de Contas'!#REF!,8,FALSE)),"",VLOOKUP($A285,'Plano de Contas'!#REF!,8,FALSE))</f>
        <v/>
      </c>
      <c r="P285" s="6" t="str">
        <f>IF(ISERROR(VLOOKUP($A285,'Plano de Contas'!#REF!,10,FALSE)),"",VLOOKUP($A285,'Plano de Contas'!#REF!,10,FALSE))</f>
        <v/>
      </c>
    </row>
    <row r="286" spans="1:16" x14ac:dyDescent="0.25">
      <c r="A286">
        <v>2</v>
      </c>
      <c r="B286">
        <v>118</v>
      </c>
      <c r="C286" t="s">
        <v>510</v>
      </c>
      <c r="D286" s="10">
        <v>2818714868.1399999</v>
      </c>
      <c r="E286" t="s">
        <v>35</v>
      </c>
      <c r="F286" s="10">
        <v>60820526.630000003</v>
      </c>
      <c r="H286" s="10">
        <v>101236575.91</v>
      </c>
      <c r="I286" t="s">
        <v>35</v>
      </c>
      <c r="J286" s="10">
        <v>2859130917.4200001</v>
      </c>
      <c r="K286" t="s">
        <v>35</v>
      </c>
      <c r="L286" s="1">
        <f t="shared" si="4"/>
        <v>-2859130917.4200001</v>
      </c>
      <c r="N286" s="6" t="str">
        <f>IF(ISERROR(VLOOKUP($A286,'Plano de Contas'!#REF!,8,FALSE)),"",VLOOKUP($A286,'Plano de Contas'!#REF!,8,FALSE))</f>
        <v/>
      </c>
      <c r="P286" s="6" t="str">
        <f>IF(ISERROR(VLOOKUP($A286,'Plano de Contas'!#REF!,10,FALSE)),"",VLOOKUP($A286,'Plano de Contas'!#REF!,10,FALSE))</f>
        <v/>
      </c>
    </row>
    <row r="287" spans="1:16" x14ac:dyDescent="0.25">
      <c r="L287" s="1">
        <f t="shared" si="4"/>
        <v>0</v>
      </c>
      <c r="N287" s="6" t="str">
        <f>IF(ISERROR(VLOOKUP($A287,'Plano de Contas'!#REF!,8,FALSE)),"",VLOOKUP($A287,'Plano de Contas'!#REF!,8,FALSE))</f>
        <v/>
      </c>
      <c r="P287" s="6" t="str">
        <f>IF(ISERROR(VLOOKUP($A287,'Plano de Contas'!#REF!,10,FALSE)),"",VLOOKUP($A287,'Plano de Contas'!#REF!,10,FALSE))</f>
        <v/>
      </c>
    </row>
    <row r="288" spans="1:16" x14ac:dyDescent="0.25">
      <c r="A288" t="s">
        <v>511</v>
      </c>
      <c r="B288">
        <v>119</v>
      </c>
      <c r="C288" t="s">
        <v>512</v>
      </c>
      <c r="D288" s="10">
        <v>173479717.5</v>
      </c>
      <c r="E288" t="s">
        <v>35</v>
      </c>
      <c r="F288" s="10">
        <v>60592263.859999999</v>
      </c>
      <c r="H288" s="10">
        <v>49460455.939999998</v>
      </c>
      <c r="I288" t="s">
        <v>35</v>
      </c>
      <c r="J288" s="10">
        <v>162347909.58000001</v>
      </c>
      <c r="K288" t="s">
        <v>35</v>
      </c>
      <c r="L288" s="1">
        <f t="shared" si="4"/>
        <v>-162347909.58000001</v>
      </c>
      <c r="N288" s="6" t="str">
        <f>IF(ISERROR(VLOOKUP($A288,'Plano de Contas'!#REF!,8,FALSE)),"",VLOOKUP($A288,'Plano de Contas'!#REF!,8,FALSE))</f>
        <v/>
      </c>
      <c r="P288" s="6" t="str">
        <f>IF(ISERROR(VLOOKUP($A288,'Plano de Contas'!#REF!,10,FALSE)),"",VLOOKUP($A288,'Plano de Contas'!#REF!,10,FALSE))</f>
        <v/>
      </c>
    </row>
    <row r="289" spans="1:16" x14ac:dyDescent="0.25">
      <c r="L289" s="1">
        <f t="shared" si="4"/>
        <v>0</v>
      </c>
      <c r="N289" s="6" t="str">
        <f>IF(ISERROR(VLOOKUP($A289,'Plano de Contas'!#REF!,8,FALSE)),"",VLOOKUP($A289,'Plano de Contas'!#REF!,8,FALSE))</f>
        <v/>
      </c>
      <c r="P289" s="6" t="str">
        <f>IF(ISERROR(VLOOKUP($A289,'Plano de Contas'!#REF!,10,FALSE)),"",VLOOKUP($A289,'Plano de Contas'!#REF!,10,FALSE))</f>
        <v/>
      </c>
    </row>
    <row r="290" spans="1:16" x14ac:dyDescent="0.25">
      <c r="A290" t="s">
        <v>513</v>
      </c>
      <c r="B290">
        <v>120</v>
      </c>
      <c r="C290" t="s">
        <v>514</v>
      </c>
      <c r="D290" s="10">
        <v>173479717.5</v>
      </c>
      <c r="E290" t="s">
        <v>35</v>
      </c>
      <c r="F290" s="10">
        <v>60592263.859999999</v>
      </c>
      <c r="H290" s="10">
        <v>49460455.939999998</v>
      </c>
      <c r="I290" t="s">
        <v>35</v>
      </c>
      <c r="J290" s="10">
        <v>162347909.58000001</v>
      </c>
      <c r="K290" t="s">
        <v>35</v>
      </c>
      <c r="L290" s="1">
        <f t="shared" si="4"/>
        <v>-162347909.58000001</v>
      </c>
      <c r="N290" s="6" t="str">
        <f>IF(ISERROR(VLOOKUP($A290,'Plano de Contas'!#REF!,8,FALSE)),"",VLOOKUP($A290,'Plano de Contas'!#REF!,8,FALSE))</f>
        <v/>
      </c>
      <c r="P290" s="6" t="str">
        <f>IF(ISERROR(VLOOKUP($A290,'Plano de Contas'!#REF!,10,FALSE)),"",VLOOKUP($A290,'Plano de Contas'!#REF!,10,FALSE))</f>
        <v/>
      </c>
    </row>
    <row r="291" spans="1:16" x14ac:dyDescent="0.25">
      <c r="L291" s="1">
        <f t="shared" si="4"/>
        <v>0</v>
      </c>
      <c r="N291" s="6" t="str">
        <f>IF(ISERROR(VLOOKUP($A291,'Plano de Contas'!#REF!,8,FALSE)),"",VLOOKUP($A291,'Plano de Contas'!#REF!,8,FALSE))</f>
        <v/>
      </c>
      <c r="P291" s="6" t="str">
        <f>IF(ISERROR(VLOOKUP($A291,'Plano de Contas'!#REF!,10,FALSE)),"",VLOOKUP($A291,'Plano de Contas'!#REF!,10,FALSE))</f>
        <v/>
      </c>
    </row>
    <row r="292" spans="1:16" x14ac:dyDescent="0.25">
      <c r="A292" t="s">
        <v>515</v>
      </c>
      <c r="B292">
        <v>121</v>
      </c>
      <c r="C292" t="s">
        <v>516</v>
      </c>
      <c r="D292" s="10">
        <v>138382376.25999999</v>
      </c>
      <c r="E292" t="s">
        <v>35</v>
      </c>
      <c r="F292" s="10">
        <v>52130969.090000004</v>
      </c>
      <c r="H292" s="10">
        <v>40916151.450000003</v>
      </c>
      <c r="I292" t="s">
        <v>35</v>
      </c>
      <c r="J292" s="10">
        <v>127167558.62</v>
      </c>
      <c r="K292" t="s">
        <v>35</v>
      </c>
      <c r="L292" s="1">
        <f t="shared" si="4"/>
        <v>-127167558.62</v>
      </c>
      <c r="N292" s="6" t="str">
        <f>IF(ISERROR(VLOOKUP($A292,'Plano de Contas'!#REF!,8,FALSE)),"",VLOOKUP($A292,'Plano de Contas'!#REF!,8,FALSE))</f>
        <v/>
      </c>
      <c r="P292" s="6" t="str">
        <f>IF(ISERROR(VLOOKUP($A292,'Plano de Contas'!#REF!,10,FALSE)),"",VLOOKUP($A292,'Plano de Contas'!#REF!,10,FALSE))</f>
        <v/>
      </c>
    </row>
    <row r="293" spans="1:16" x14ac:dyDescent="0.25">
      <c r="A293" t="s">
        <v>517</v>
      </c>
      <c r="B293">
        <v>122</v>
      </c>
      <c r="C293" t="s">
        <v>518</v>
      </c>
      <c r="D293" s="10">
        <v>25735.02</v>
      </c>
      <c r="E293" t="s">
        <v>35</v>
      </c>
      <c r="F293" s="10">
        <v>54307.01</v>
      </c>
      <c r="H293" s="10">
        <v>37077.83</v>
      </c>
      <c r="I293" t="s">
        <v>35</v>
      </c>
      <c r="J293" s="10">
        <v>8505.84</v>
      </c>
      <c r="K293" t="s">
        <v>35</v>
      </c>
      <c r="L293" s="1">
        <f t="shared" si="4"/>
        <v>-8505.84</v>
      </c>
      <c r="N293" s="6" t="str">
        <f>IF(ISERROR(VLOOKUP($A293,'Plano de Contas'!#REF!,8,FALSE)),"",VLOOKUP($A293,'Plano de Contas'!#REF!,8,FALSE))</f>
        <v/>
      </c>
      <c r="P293" s="6" t="str">
        <f>IF(ISERROR(VLOOKUP($A293,'Plano de Contas'!#REF!,10,FALSE)),"",VLOOKUP($A293,'Plano de Contas'!#REF!,10,FALSE))</f>
        <v/>
      </c>
    </row>
    <row r="294" spans="1:16" x14ac:dyDescent="0.25">
      <c r="A294" t="s">
        <v>519</v>
      </c>
      <c r="B294">
        <v>123</v>
      </c>
      <c r="C294" t="s">
        <v>520</v>
      </c>
      <c r="D294">
        <v>-170</v>
      </c>
      <c r="F294" s="10">
        <v>1298</v>
      </c>
      <c r="H294" s="10">
        <v>-1128</v>
      </c>
      <c r="J294">
        <v>0</v>
      </c>
      <c r="L294" s="1">
        <f t="shared" si="4"/>
        <v>0</v>
      </c>
      <c r="N294" s="6" t="str">
        <f>IF(ISERROR(VLOOKUP($A294,'Plano de Contas'!#REF!,8,FALSE)),"",VLOOKUP($A294,'Plano de Contas'!#REF!,8,FALSE))</f>
        <v/>
      </c>
      <c r="P294" s="6" t="str">
        <f>IF(ISERROR(VLOOKUP($A294,'Plano de Contas'!#REF!,10,FALSE)),"",VLOOKUP($A294,'Plano de Contas'!#REF!,10,FALSE))</f>
        <v/>
      </c>
    </row>
    <row r="295" spans="1:16" x14ac:dyDescent="0.25">
      <c r="A295" t="s">
        <v>521</v>
      </c>
      <c r="B295">
        <v>124</v>
      </c>
      <c r="C295" t="s">
        <v>522</v>
      </c>
      <c r="D295" s="10">
        <v>-138348711.03999999</v>
      </c>
      <c r="F295" s="10">
        <v>52075364.079999998</v>
      </c>
      <c r="H295" s="10">
        <v>-40877945.619999997</v>
      </c>
      <c r="J295" s="10">
        <v>-127151292.58</v>
      </c>
      <c r="L295" s="1">
        <f t="shared" si="4"/>
        <v>-127151292.58</v>
      </c>
      <c r="N295" s="6" t="str">
        <f>IF(ISERROR(VLOOKUP($A295,'Plano de Contas'!#REF!,8,FALSE)),"",VLOOKUP($A295,'Plano de Contas'!#REF!,8,FALSE))</f>
        <v/>
      </c>
      <c r="P295" s="6" t="str">
        <f>IF(ISERROR(VLOOKUP($A295,'Plano de Contas'!#REF!,10,FALSE)),"",VLOOKUP($A295,'Plano de Contas'!#REF!,10,FALSE))</f>
        <v/>
      </c>
    </row>
    <row r="296" spans="1:16" x14ac:dyDescent="0.25">
      <c r="A296" t="s">
        <v>523</v>
      </c>
      <c r="B296">
        <v>429</v>
      </c>
      <c r="C296" t="s">
        <v>524</v>
      </c>
      <c r="D296" s="10">
        <v>-7760.2</v>
      </c>
      <c r="F296">
        <v>0</v>
      </c>
      <c r="H296">
        <v>0</v>
      </c>
      <c r="J296" s="10">
        <v>-7760.2</v>
      </c>
      <c r="L296" s="1">
        <f t="shared" si="4"/>
        <v>-7760.2</v>
      </c>
      <c r="N296" s="6" t="str">
        <f>IF(ISERROR(VLOOKUP($A296,'Plano de Contas'!#REF!,8,FALSE)),"",VLOOKUP($A296,'Plano de Contas'!#REF!,8,FALSE))</f>
        <v/>
      </c>
      <c r="P296" s="6" t="str">
        <f>IF(ISERROR(VLOOKUP($A296,'Plano de Contas'!#REF!,10,FALSE)),"",VLOOKUP($A296,'Plano de Contas'!#REF!,10,FALSE))</f>
        <v/>
      </c>
    </row>
    <row r="297" spans="1:16" x14ac:dyDescent="0.25">
      <c r="L297" s="1">
        <f t="shared" si="4"/>
        <v>0</v>
      </c>
      <c r="N297" s="6" t="str">
        <f>IF(ISERROR(VLOOKUP($A297,'Plano de Contas'!#REF!,8,FALSE)),"",VLOOKUP($A297,'Plano de Contas'!#REF!,8,FALSE))</f>
        <v/>
      </c>
      <c r="P297" s="6" t="str">
        <f>IF(ISERROR(VLOOKUP($A297,'Plano de Contas'!#REF!,10,FALSE)),"",VLOOKUP($A297,'Plano de Contas'!#REF!,10,FALSE))</f>
        <v/>
      </c>
    </row>
    <row r="298" spans="1:16" x14ac:dyDescent="0.25">
      <c r="A298" t="s">
        <v>525</v>
      </c>
      <c r="B298">
        <v>125</v>
      </c>
      <c r="C298" t="s">
        <v>526</v>
      </c>
      <c r="D298" s="10">
        <v>34791.32</v>
      </c>
      <c r="E298" t="s">
        <v>35</v>
      </c>
      <c r="F298" s="10">
        <v>1901712.65</v>
      </c>
      <c r="H298" s="10">
        <v>1870262.22</v>
      </c>
      <c r="I298" t="s">
        <v>35</v>
      </c>
      <c r="J298" s="10">
        <v>3340.89</v>
      </c>
      <c r="K298" t="s">
        <v>35</v>
      </c>
      <c r="L298" s="1">
        <f t="shared" si="4"/>
        <v>-3340.89</v>
      </c>
      <c r="N298" s="6" t="str">
        <f>IF(ISERROR(VLOOKUP($A298,'Plano de Contas'!#REF!,8,FALSE)),"",VLOOKUP($A298,'Plano de Contas'!#REF!,8,FALSE))</f>
        <v/>
      </c>
      <c r="P298" s="6" t="str">
        <f>IF(ISERROR(VLOOKUP($A298,'Plano de Contas'!#REF!,10,FALSE)),"",VLOOKUP($A298,'Plano de Contas'!#REF!,10,FALSE))</f>
        <v/>
      </c>
    </row>
    <row r="299" spans="1:16" x14ac:dyDescent="0.25">
      <c r="A299" t="s">
        <v>527</v>
      </c>
      <c r="B299">
        <v>126</v>
      </c>
      <c r="C299" t="s">
        <v>528</v>
      </c>
      <c r="D299">
        <v>0</v>
      </c>
      <c r="F299" s="10">
        <v>1195417.4099999999</v>
      </c>
      <c r="H299" s="10">
        <v>-1195417.4099999999</v>
      </c>
      <c r="J299">
        <v>0</v>
      </c>
      <c r="L299" s="1">
        <f t="shared" si="4"/>
        <v>0</v>
      </c>
      <c r="N299" s="6" t="str">
        <f>IF(ISERROR(VLOOKUP($A299,'Plano de Contas'!#REF!,8,FALSE)),"",VLOOKUP($A299,'Plano de Contas'!#REF!,8,FALSE))</f>
        <v/>
      </c>
      <c r="P299" s="6" t="str">
        <f>IF(ISERROR(VLOOKUP($A299,'Plano de Contas'!#REF!,10,FALSE)),"",VLOOKUP($A299,'Plano de Contas'!#REF!,10,FALSE))</f>
        <v/>
      </c>
    </row>
    <row r="300" spans="1:16" x14ac:dyDescent="0.25">
      <c r="A300" t="s">
        <v>529</v>
      </c>
      <c r="B300">
        <v>128</v>
      </c>
      <c r="C300" t="s">
        <v>530</v>
      </c>
      <c r="D300">
        <v>0.14000000000000001</v>
      </c>
      <c r="E300" t="s">
        <v>35</v>
      </c>
      <c r="F300" s="10">
        <v>617314.54</v>
      </c>
      <c r="H300" s="10">
        <v>617314.54</v>
      </c>
      <c r="I300" t="s">
        <v>35</v>
      </c>
      <c r="J300">
        <v>0.14000000000000001</v>
      </c>
      <c r="K300" t="s">
        <v>35</v>
      </c>
      <c r="L300" s="1">
        <f t="shared" si="4"/>
        <v>-0.14000000000000001</v>
      </c>
      <c r="N300" s="6" t="str">
        <f>IF(ISERROR(VLOOKUP($A300,'Plano de Contas'!#REF!,8,FALSE)),"",VLOOKUP($A300,'Plano de Contas'!#REF!,8,FALSE))</f>
        <v/>
      </c>
      <c r="P300" s="6" t="str">
        <f>IF(ISERROR(VLOOKUP($A300,'Plano de Contas'!#REF!,10,FALSE)),"",VLOOKUP($A300,'Plano de Contas'!#REF!,10,FALSE))</f>
        <v/>
      </c>
    </row>
    <row r="301" spans="1:16" x14ac:dyDescent="0.25">
      <c r="A301" t="s">
        <v>531</v>
      </c>
      <c r="B301">
        <v>129</v>
      </c>
      <c r="C301" t="s">
        <v>532</v>
      </c>
      <c r="D301" s="10">
        <v>13407.7</v>
      </c>
      <c r="E301" t="s">
        <v>35</v>
      </c>
      <c r="F301" s="10">
        <v>13836.18</v>
      </c>
      <c r="H301" s="10">
        <v>3457.28</v>
      </c>
      <c r="I301" t="s">
        <v>35</v>
      </c>
      <c r="J301" s="10">
        <v>3028.8</v>
      </c>
      <c r="K301" t="s">
        <v>35</v>
      </c>
      <c r="L301" s="1">
        <f t="shared" si="4"/>
        <v>-3028.8</v>
      </c>
      <c r="N301" s="6" t="str">
        <f>IF(ISERROR(VLOOKUP($A301,'Plano de Contas'!#REF!,8,FALSE)),"",VLOOKUP($A301,'Plano de Contas'!#REF!,8,FALSE))</f>
        <v/>
      </c>
      <c r="P301" s="6" t="str">
        <f>IF(ISERROR(VLOOKUP($A301,'Plano de Contas'!#REF!,10,FALSE)),"",VLOOKUP($A301,'Plano de Contas'!#REF!,10,FALSE))</f>
        <v/>
      </c>
    </row>
    <row r="302" spans="1:16" x14ac:dyDescent="0.25">
      <c r="A302" t="s">
        <v>533</v>
      </c>
      <c r="B302">
        <v>130</v>
      </c>
      <c r="C302" t="s">
        <v>534</v>
      </c>
      <c r="D302">
        <v>-242.13</v>
      </c>
      <c r="F302" s="10">
        <v>32818.089999999997</v>
      </c>
      <c r="H302" s="10">
        <v>-32575.79</v>
      </c>
      <c r="J302">
        <v>0.17</v>
      </c>
      <c r="L302" s="1">
        <f t="shared" si="4"/>
        <v>0.17</v>
      </c>
      <c r="N302" s="6" t="str">
        <f>IF(ISERROR(VLOOKUP($A302,'Plano de Contas'!#REF!,8,FALSE)),"",VLOOKUP($A302,'Plano de Contas'!#REF!,8,FALSE))</f>
        <v/>
      </c>
      <c r="P302" s="6" t="str">
        <f>IF(ISERROR(VLOOKUP($A302,'Plano de Contas'!#REF!,10,FALSE)),"",VLOOKUP($A302,'Plano de Contas'!#REF!,10,FALSE))</f>
        <v/>
      </c>
    </row>
    <row r="303" spans="1:16" x14ac:dyDescent="0.25">
      <c r="A303" t="s">
        <v>535</v>
      </c>
      <c r="B303">
        <v>132</v>
      </c>
      <c r="C303" t="s">
        <v>536</v>
      </c>
      <c r="D303" s="10">
        <v>-21141.35</v>
      </c>
      <c r="F303" s="10">
        <v>42326.43</v>
      </c>
      <c r="H303" s="10">
        <v>-21497.200000000001</v>
      </c>
      <c r="J303">
        <v>-312.12</v>
      </c>
      <c r="L303" s="1">
        <f t="shared" si="4"/>
        <v>-312.12</v>
      </c>
      <c r="N303" s="6" t="str">
        <f>IF(ISERROR(VLOOKUP($A303,'Plano de Contas'!#REF!,8,FALSE)),"",VLOOKUP($A303,'Plano de Contas'!#REF!,8,FALSE))</f>
        <v/>
      </c>
      <c r="P303" s="6" t="str">
        <f>IF(ISERROR(VLOOKUP($A303,'Plano de Contas'!#REF!,10,FALSE)),"",VLOOKUP($A303,'Plano de Contas'!#REF!,10,FALSE))</f>
        <v/>
      </c>
    </row>
    <row r="304" spans="1:16" x14ac:dyDescent="0.25">
      <c r="L304" s="1">
        <f t="shared" si="4"/>
        <v>0</v>
      </c>
      <c r="N304" s="6" t="str">
        <f>IF(ISERROR(VLOOKUP($A304,'Plano de Contas'!#REF!,8,FALSE)),"",VLOOKUP($A304,'Plano de Contas'!#REF!,8,FALSE))</f>
        <v/>
      </c>
      <c r="P304" s="6" t="str">
        <f>IF(ISERROR(VLOOKUP($A304,'Plano de Contas'!#REF!,10,FALSE)),"",VLOOKUP($A304,'Plano de Contas'!#REF!,10,FALSE))</f>
        <v/>
      </c>
    </row>
    <row r="305" spans="1:16" x14ac:dyDescent="0.25">
      <c r="A305" t="s">
        <v>537</v>
      </c>
      <c r="B305">
        <v>133</v>
      </c>
      <c r="C305" t="s">
        <v>538</v>
      </c>
      <c r="D305" s="10">
        <v>1627266.19</v>
      </c>
      <c r="E305" t="s">
        <v>35</v>
      </c>
      <c r="F305" s="10">
        <v>1502666.04</v>
      </c>
      <c r="H305" s="10">
        <v>2031624.84</v>
      </c>
      <c r="I305" t="s">
        <v>35</v>
      </c>
      <c r="J305" s="10">
        <v>2156224.9900000002</v>
      </c>
      <c r="K305" t="s">
        <v>35</v>
      </c>
      <c r="L305" s="1">
        <f t="shared" si="4"/>
        <v>-2156224.9900000002</v>
      </c>
      <c r="N305" s="6" t="str">
        <f>IF(ISERROR(VLOOKUP($A305,'Plano de Contas'!#REF!,8,FALSE)),"",VLOOKUP($A305,'Plano de Contas'!#REF!,8,FALSE))</f>
        <v/>
      </c>
      <c r="P305" s="6" t="str">
        <f>IF(ISERROR(VLOOKUP($A305,'Plano de Contas'!#REF!,10,FALSE)),"",VLOOKUP($A305,'Plano de Contas'!#REF!,10,FALSE))</f>
        <v/>
      </c>
    </row>
    <row r="306" spans="1:16" x14ac:dyDescent="0.25">
      <c r="A306" t="s">
        <v>539</v>
      </c>
      <c r="B306">
        <v>134</v>
      </c>
      <c r="C306" t="s">
        <v>540</v>
      </c>
      <c r="D306" s="10">
        <v>1494842.84</v>
      </c>
      <c r="E306" t="s">
        <v>35</v>
      </c>
      <c r="F306" s="10">
        <v>1370242.69</v>
      </c>
      <c r="H306" s="10">
        <v>1764031.76</v>
      </c>
      <c r="I306" t="s">
        <v>35</v>
      </c>
      <c r="J306" s="10">
        <v>1888631.91</v>
      </c>
      <c r="K306" t="s">
        <v>35</v>
      </c>
      <c r="L306" s="1">
        <f t="shared" si="4"/>
        <v>-1888631.91</v>
      </c>
      <c r="N306" s="6" t="str">
        <f>IF(ISERROR(VLOOKUP($A306,'Plano de Contas'!#REF!,8,FALSE)),"",VLOOKUP($A306,'Plano de Contas'!#REF!,8,FALSE))</f>
        <v/>
      </c>
      <c r="P306" s="6" t="str">
        <f>IF(ISERROR(VLOOKUP($A306,'Plano de Contas'!#REF!,10,FALSE)),"",VLOOKUP($A306,'Plano de Contas'!#REF!,10,FALSE))</f>
        <v/>
      </c>
    </row>
    <row r="307" spans="1:16" x14ac:dyDescent="0.25">
      <c r="A307" t="s">
        <v>541</v>
      </c>
      <c r="B307">
        <v>135</v>
      </c>
      <c r="C307" t="s">
        <v>542</v>
      </c>
      <c r="D307" s="10">
        <v>132423.35</v>
      </c>
      <c r="E307" t="s">
        <v>35</v>
      </c>
      <c r="F307" s="10">
        <v>132423.35</v>
      </c>
      <c r="H307" s="10">
        <v>267593.08</v>
      </c>
      <c r="I307" t="s">
        <v>35</v>
      </c>
      <c r="J307" s="10">
        <v>267593.08</v>
      </c>
      <c r="K307" t="s">
        <v>35</v>
      </c>
      <c r="L307" s="1">
        <f t="shared" si="4"/>
        <v>-267593.08</v>
      </c>
      <c r="N307" s="6" t="str">
        <f>IF(ISERROR(VLOOKUP($A307,'Plano de Contas'!#REF!,8,FALSE)),"",VLOOKUP($A307,'Plano de Contas'!#REF!,8,FALSE))</f>
        <v/>
      </c>
      <c r="P307" s="6" t="str">
        <f>IF(ISERROR(VLOOKUP($A307,'Plano de Contas'!#REF!,10,FALSE)),"",VLOOKUP($A307,'Plano de Contas'!#REF!,10,FALSE))</f>
        <v/>
      </c>
    </row>
    <row r="308" spans="1:16" x14ac:dyDescent="0.25">
      <c r="L308" s="1">
        <f t="shared" si="4"/>
        <v>0</v>
      </c>
      <c r="N308" s="6" t="str">
        <f>IF(ISERROR(VLOOKUP($A308,'Plano de Contas'!#REF!,8,FALSE)),"",VLOOKUP($A308,'Plano de Contas'!#REF!,8,FALSE))</f>
        <v/>
      </c>
      <c r="P308" s="6" t="str">
        <f>IF(ISERROR(VLOOKUP($A308,'Plano de Contas'!#REF!,10,FALSE)),"",VLOOKUP($A308,'Plano de Contas'!#REF!,10,FALSE))</f>
        <v/>
      </c>
    </row>
    <row r="309" spans="1:16" x14ac:dyDescent="0.25">
      <c r="A309" t="s">
        <v>543</v>
      </c>
      <c r="B309">
        <v>136</v>
      </c>
      <c r="C309" t="s">
        <v>544</v>
      </c>
      <c r="D309" s="10">
        <v>3753600.46</v>
      </c>
      <c r="E309" t="s">
        <v>35</v>
      </c>
      <c r="F309" s="10">
        <v>2590819.98</v>
      </c>
      <c r="H309" s="10">
        <v>2930929.24</v>
      </c>
      <c r="I309" t="s">
        <v>35</v>
      </c>
      <c r="J309" s="10">
        <v>4093709.72</v>
      </c>
      <c r="K309" t="s">
        <v>35</v>
      </c>
      <c r="L309" s="1">
        <f t="shared" si="4"/>
        <v>-4093709.72</v>
      </c>
      <c r="N309" s="6" t="str">
        <f>IF(ISERROR(VLOOKUP($A309,'Plano de Contas'!#REF!,8,FALSE)),"",VLOOKUP($A309,'Plano de Contas'!#REF!,8,FALSE))</f>
        <v/>
      </c>
      <c r="P309" s="6" t="str">
        <f>IF(ISERROR(VLOOKUP($A309,'Plano de Contas'!#REF!,10,FALSE)),"",VLOOKUP($A309,'Plano de Contas'!#REF!,10,FALSE))</f>
        <v/>
      </c>
    </row>
    <row r="310" spans="1:16" x14ac:dyDescent="0.25">
      <c r="A310" t="s">
        <v>545</v>
      </c>
      <c r="B310">
        <v>137</v>
      </c>
      <c r="C310" t="s">
        <v>546</v>
      </c>
      <c r="D310" s="10">
        <v>171402.56</v>
      </c>
      <c r="E310" t="s">
        <v>35</v>
      </c>
      <c r="F310" s="10">
        <v>42560.36</v>
      </c>
      <c r="H310" s="10">
        <v>55185.18</v>
      </c>
      <c r="I310" t="s">
        <v>35</v>
      </c>
      <c r="J310" s="10">
        <v>184027.38</v>
      </c>
      <c r="K310" t="s">
        <v>35</v>
      </c>
      <c r="L310" s="1">
        <f t="shared" si="4"/>
        <v>-184027.38</v>
      </c>
      <c r="N310" s="6" t="str">
        <f>IF(ISERROR(VLOOKUP($A310,'Plano de Contas'!#REF!,8,FALSE)),"",VLOOKUP($A310,'Plano de Contas'!#REF!,8,FALSE))</f>
        <v/>
      </c>
      <c r="P310" s="6" t="str">
        <f>IF(ISERROR(VLOOKUP($A310,'Plano de Contas'!#REF!,10,FALSE)),"",VLOOKUP($A310,'Plano de Contas'!#REF!,10,FALSE))</f>
        <v/>
      </c>
    </row>
    <row r="311" spans="1:16" x14ac:dyDescent="0.25">
      <c r="A311" t="s">
        <v>547</v>
      </c>
      <c r="B311">
        <v>138</v>
      </c>
      <c r="C311" t="s">
        <v>548</v>
      </c>
      <c r="D311">
        <v>-65.569999999999993</v>
      </c>
      <c r="F311">
        <v>0</v>
      </c>
      <c r="H311">
        <v>0</v>
      </c>
      <c r="J311">
        <v>-65.569999999999993</v>
      </c>
      <c r="L311" s="1">
        <f t="shared" si="4"/>
        <v>-65.569999999999993</v>
      </c>
      <c r="N311" s="6" t="str">
        <f>IF(ISERROR(VLOOKUP($A311,'Plano de Contas'!#REF!,8,FALSE)),"",VLOOKUP($A311,'Plano de Contas'!#REF!,8,FALSE))</f>
        <v/>
      </c>
      <c r="P311" s="6" t="str">
        <f>IF(ISERROR(VLOOKUP($A311,'Plano de Contas'!#REF!,10,FALSE)),"",VLOOKUP($A311,'Plano de Contas'!#REF!,10,FALSE))</f>
        <v/>
      </c>
    </row>
    <row r="312" spans="1:16" x14ac:dyDescent="0.25">
      <c r="A312" t="s">
        <v>549</v>
      </c>
      <c r="B312">
        <v>139</v>
      </c>
      <c r="C312" t="s">
        <v>550</v>
      </c>
      <c r="D312" s="10">
        <v>241363.49</v>
      </c>
      <c r="E312" t="s">
        <v>35</v>
      </c>
      <c r="F312" s="10">
        <v>243121</v>
      </c>
      <c r="H312" s="10">
        <v>466104.22</v>
      </c>
      <c r="I312" t="s">
        <v>35</v>
      </c>
      <c r="J312" s="10">
        <v>464346.71</v>
      </c>
      <c r="K312" t="s">
        <v>35</v>
      </c>
      <c r="L312" s="1">
        <f t="shared" si="4"/>
        <v>-464346.71</v>
      </c>
      <c r="N312" s="6" t="str">
        <f>IF(ISERROR(VLOOKUP($A312,'Plano de Contas'!#REF!,8,FALSE)),"",VLOOKUP($A312,'Plano de Contas'!#REF!,8,FALSE))</f>
        <v/>
      </c>
      <c r="P312" s="6" t="str">
        <f>IF(ISERROR(VLOOKUP($A312,'Plano de Contas'!#REF!,10,FALSE)),"",VLOOKUP($A312,'Plano de Contas'!#REF!,10,FALSE))</f>
        <v/>
      </c>
    </row>
    <row r="313" spans="1:16" x14ac:dyDescent="0.25">
      <c r="A313" t="s">
        <v>551</v>
      </c>
      <c r="B313">
        <v>142</v>
      </c>
      <c r="C313" t="s">
        <v>552</v>
      </c>
      <c r="D313" s="10">
        <v>124967.64</v>
      </c>
      <c r="E313" t="s">
        <v>35</v>
      </c>
      <c r="F313" s="10">
        <v>141237.81</v>
      </c>
      <c r="H313" s="10">
        <v>148544.14000000001</v>
      </c>
      <c r="I313" t="s">
        <v>35</v>
      </c>
      <c r="J313" s="10">
        <v>132273.97</v>
      </c>
      <c r="K313" t="s">
        <v>35</v>
      </c>
      <c r="L313" s="1">
        <f t="shared" si="4"/>
        <v>-132273.97</v>
      </c>
      <c r="N313" s="6" t="str">
        <f>IF(ISERROR(VLOOKUP($A313,'Plano de Contas'!#REF!,8,FALSE)),"",VLOOKUP($A313,'Plano de Contas'!#REF!,8,FALSE))</f>
        <v/>
      </c>
      <c r="P313" s="6" t="str">
        <f>IF(ISERROR(VLOOKUP($A313,'Plano de Contas'!#REF!,10,FALSE)),"",VLOOKUP($A313,'Plano de Contas'!#REF!,10,FALSE))</f>
        <v/>
      </c>
    </row>
    <row r="314" spans="1:16" x14ac:dyDescent="0.25">
      <c r="A314" t="s">
        <v>553</v>
      </c>
      <c r="B314">
        <v>143</v>
      </c>
      <c r="C314" t="s">
        <v>554</v>
      </c>
      <c r="D314" s="10">
        <v>575528.29</v>
      </c>
      <c r="E314" t="s">
        <v>35</v>
      </c>
      <c r="F314" s="10">
        <v>650580.74</v>
      </c>
      <c r="H314" s="10">
        <v>684211.99</v>
      </c>
      <c r="I314" t="s">
        <v>35</v>
      </c>
      <c r="J314" s="10">
        <v>609159.54</v>
      </c>
      <c r="K314" t="s">
        <v>35</v>
      </c>
      <c r="L314" s="1">
        <f t="shared" si="4"/>
        <v>-609159.54</v>
      </c>
      <c r="N314" s="6" t="str">
        <f>IF(ISERROR(VLOOKUP($A314,'Plano de Contas'!#REF!,8,FALSE)),"",VLOOKUP($A314,'Plano de Contas'!#REF!,8,FALSE))</f>
        <v/>
      </c>
      <c r="P314" s="6" t="str">
        <f>IF(ISERROR(VLOOKUP($A314,'Plano de Contas'!#REF!,10,FALSE)),"",VLOOKUP($A314,'Plano de Contas'!#REF!,10,FALSE))</f>
        <v/>
      </c>
    </row>
    <row r="315" spans="1:16" x14ac:dyDescent="0.25">
      <c r="A315" t="s">
        <v>555</v>
      </c>
      <c r="B315">
        <v>144</v>
      </c>
      <c r="C315" t="s">
        <v>556</v>
      </c>
      <c r="D315" s="10">
        <v>-100027.57</v>
      </c>
      <c r="F315" s="10">
        <v>131634.60999999999</v>
      </c>
      <c r="H315" s="10">
        <v>-157228.51</v>
      </c>
      <c r="J315" s="10">
        <v>-125621.47</v>
      </c>
      <c r="L315" s="1">
        <f t="shared" si="4"/>
        <v>-125621.47</v>
      </c>
      <c r="N315" s="6" t="str">
        <f>IF(ISERROR(VLOOKUP($A315,'Plano de Contas'!#REF!,8,FALSE)),"",VLOOKUP($A315,'Plano de Contas'!#REF!,8,FALSE))</f>
        <v/>
      </c>
      <c r="P315" s="6" t="str">
        <f>IF(ISERROR(VLOOKUP($A315,'Plano de Contas'!#REF!,10,FALSE)),"",VLOOKUP($A315,'Plano de Contas'!#REF!,10,FALSE))</f>
        <v/>
      </c>
    </row>
    <row r="316" spans="1:16" x14ac:dyDescent="0.25">
      <c r="A316" t="s">
        <v>557</v>
      </c>
      <c r="B316">
        <v>145</v>
      </c>
      <c r="C316" t="s">
        <v>558</v>
      </c>
      <c r="D316" s="10">
        <v>1670295.18</v>
      </c>
      <c r="E316" t="s">
        <v>35</v>
      </c>
      <c r="F316" s="10">
        <v>1127902.26</v>
      </c>
      <c r="H316" s="10">
        <v>1149964.99</v>
      </c>
      <c r="I316" t="s">
        <v>35</v>
      </c>
      <c r="J316" s="10">
        <v>1692357.91</v>
      </c>
      <c r="K316" t="s">
        <v>35</v>
      </c>
      <c r="L316" s="1">
        <f t="shared" si="4"/>
        <v>-1692357.91</v>
      </c>
      <c r="N316" s="6" t="str">
        <f>IF(ISERROR(VLOOKUP($A316,'Plano de Contas'!#REF!,8,FALSE)),"",VLOOKUP($A316,'Plano de Contas'!#REF!,8,FALSE))</f>
        <v/>
      </c>
      <c r="P316" s="6" t="str">
        <f>IF(ISERROR(VLOOKUP($A316,'Plano de Contas'!#REF!,10,FALSE)),"",VLOOKUP($A316,'Plano de Contas'!#REF!,10,FALSE))</f>
        <v/>
      </c>
    </row>
    <row r="317" spans="1:16" x14ac:dyDescent="0.25">
      <c r="A317" t="s">
        <v>559</v>
      </c>
      <c r="B317">
        <v>511</v>
      </c>
      <c r="C317" t="s">
        <v>560</v>
      </c>
      <c r="D317" s="10">
        <v>280653.53999999998</v>
      </c>
      <c r="E317" t="s">
        <v>35</v>
      </c>
      <c r="F317">
        <v>0</v>
      </c>
      <c r="H317">
        <v>0</v>
      </c>
      <c r="J317" s="10">
        <v>280653.53999999998</v>
      </c>
      <c r="K317" t="s">
        <v>35</v>
      </c>
      <c r="L317" s="1">
        <f t="shared" si="4"/>
        <v>-280653.53999999998</v>
      </c>
      <c r="N317" s="6" t="str">
        <f>IF(ISERROR(VLOOKUP($A317,'Plano de Contas'!#REF!,8,FALSE)),"",VLOOKUP($A317,'Plano de Contas'!#REF!,8,FALSE))</f>
        <v/>
      </c>
      <c r="P317" s="6" t="str">
        <f>IF(ISERROR(VLOOKUP($A317,'Plano de Contas'!#REF!,10,FALSE)),"",VLOOKUP($A317,'Plano de Contas'!#REF!,10,FALSE))</f>
        <v/>
      </c>
    </row>
    <row r="318" spans="1:16" x14ac:dyDescent="0.25">
      <c r="A318" t="s">
        <v>561</v>
      </c>
      <c r="B318">
        <v>512</v>
      </c>
      <c r="C318" t="s">
        <v>562</v>
      </c>
      <c r="D318" s="10">
        <v>143659.29</v>
      </c>
      <c r="E318" t="s">
        <v>35</v>
      </c>
      <c r="F318">
        <v>0</v>
      </c>
      <c r="H318">
        <v>0</v>
      </c>
      <c r="J318" s="10">
        <v>143659.29</v>
      </c>
      <c r="K318" t="s">
        <v>35</v>
      </c>
      <c r="L318" s="1">
        <f t="shared" si="4"/>
        <v>-143659.29</v>
      </c>
      <c r="N318" s="6" t="str">
        <f>IF(ISERROR(VLOOKUP($A318,'Plano de Contas'!#REF!,8,FALSE)),"",VLOOKUP($A318,'Plano de Contas'!#REF!,8,FALSE))</f>
        <v/>
      </c>
      <c r="P318" s="6" t="str">
        <f>IF(ISERROR(VLOOKUP($A318,'Plano de Contas'!#REF!,10,FALSE)),"",VLOOKUP($A318,'Plano de Contas'!#REF!,10,FALSE))</f>
        <v/>
      </c>
    </row>
    <row r="319" spans="1:16" x14ac:dyDescent="0.25">
      <c r="A319" t="s">
        <v>563</v>
      </c>
      <c r="B319">
        <v>627</v>
      </c>
      <c r="C319" t="s">
        <v>564</v>
      </c>
      <c r="D319" s="10">
        <v>11970</v>
      </c>
      <c r="E319" t="s">
        <v>35</v>
      </c>
      <c r="F319" s="10">
        <v>11220</v>
      </c>
      <c r="H319">
        <v>0</v>
      </c>
      <c r="J319">
        <v>750</v>
      </c>
      <c r="K319" t="s">
        <v>35</v>
      </c>
      <c r="L319" s="1">
        <f t="shared" si="4"/>
        <v>-750</v>
      </c>
      <c r="N319" s="6" t="str">
        <f>IF(ISERROR(VLOOKUP($A319,'Plano de Contas'!#REF!,8,FALSE)),"",VLOOKUP($A319,'Plano de Contas'!#REF!,8,FALSE))</f>
        <v/>
      </c>
      <c r="P319" s="6" t="str">
        <f>IF(ISERROR(VLOOKUP($A319,'Plano de Contas'!#REF!,10,FALSE)),"",VLOOKUP($A319,'Plano de Contas'!#REF!,10,FALSE))</f>
        <v/>
      </c>
    </row>
    <row r="320" spans="1:16" x14ac:dyDescent="0.25">
      <c r="A320" t="s">
        <v>565</v>
      </c>
      <c r="B320">
        <v>147</v>
      </c>
      <c r="C320" t="s">
        <v>566</v>
      </c>
      <c r="D320" s="10">
        <v>433667.33</v>
      </c>
      <c r="E320" t="s">
        <v>35</v>
      </c>
      <c r="F320" s="10">
        <v>242563.20000000001</v>
      </c>
      <c r="H320" s="10">
        <v>269690.21000000002</v>
      </c>
      <c r="I320" t="s">
        <v>35</v>
      </c>
      <c r="J320" s="10">
        <v>460794.34</v>
      </c>
      <c r="K320" t="s">
        <v>35</v>
      </c>
      <c r="L320" s="1">
        <f t="shared" si="4"/>
        <v>-460794.34</v>
      </c>
      <c r="N320" s="6" t="str">
        <f>IF(ISERROR(VLOOKUP($A320,'Plano de Contas'!#REF!,8,FALSE)),"",VLOOKUP($A320,'Plano de Contas'!#REF!,8,FALSE))</f>
        <v/>
      </c>
      <c r="P320" s="6" t="str">
        <f>IF(ISERROR(VLOOKUP($A320,'Plano de Contas'!#REF!,10,FALSE)),"",VLOOKUP($A320,'Plano de Contas'!#REF!,10,FALSE))</f>
        <v/>
      </c>
    </row>
    <row r="321" spans="1:16" x14ac:dyDescent="0.25">
      <c r="L321" s="1">
        <f t="shared" si="4"/>
        <v>0</v>
      </c>
      <c r="N321" s="6" t="str">
        <f>IF(ISERROR(VLOOKUP($A321,'Plano de Contas'!#REF!,8,FALSE)),"",VLOOKUP($A321,'Plano de Contas'!#REF!,8,FALSE))</f>
        <v/>
      </c>
      <c r="P321" s="6" t="str">
        <f>IF(ISERROR(VLOOKUP($A321,'Plano de Contas'!#REF!,10,FALSE)),"",VLOOKUP($A321,'Plano de Contas'!#REF!,10,FALSE))</f>
        <v/>
      </c>
    </row>
    <row r="322" spans="1:16" x14ac:dyDescent="0.25">
      <c r="A322" t="s">
        <v>567</v>
      </c>
      <c r="B322">
        <v>148</v>
      </c>
      <c r="C322" t="s">
        <v>568</v>
      </c>
      <c r="D322" s="10">
        <v>14064478.68</v>
      </c>
      <c r="E322" t="s">
        <v>35</v>
      </c>
      <c r="F322">
        <v>0</v>
      </c>
      <c r="H322" s="10">
        <v>157640.34</v>
      </c>
      <c r="I322" t="s">
        <v>35</v>
      </c>
      <c r="J322" s="10">
        <v>14222119.02</v>
      </c>
      <c r="K322" t="s">
        <v>35</v>
      </c>
      <c r="L322" s="1">
        <f t="shared" si="4"/>
        <v>-14222119.02</v>
      </c>
      <c r="N322" s="6" t="str">
        <f>IF(ISERROR(VLOOKUP($A322,'Plano de Contas'!#REF!,8,FALSE)),"",VLOOKUP($A322,'Plano de Contas'!#REF!,8,FALSE))</f>
        <v/>
      </c>
      <c r="P322" s="6" t="str">
        <f>IF(ISERROR(VLOOKUP($A322,'Plano de Contas'!#REF!,10,FALSE)),"",VLOOKUP($A322,'Plano de Contas'!#REF!,10,FALSE))</f>
        <v/>
      </c>
    </row>
    <row r="323" spans="1:16" x14ac:dyDescent="0.25">
      <c r="A323" t="s">
        <v>569</v>
      </c>
      <c r="B323">
        <v>921</v>
      </c>
      <c r="C323" t="s">
        <v>570</v>
      </c>
      <c r="D323" s="10">
        <v>14064478.68</v>
      </c>
      <c r="E323" t="s">
        <v>35</v>
      </c>
      <c r="F323">
        <v>0</v>
      </c>
      <c r="H323" s="10">
        <v>157640.34</v>
      </c>
      <c r="I323" t="s">
        <v>35</v>
      </c>
      <c r="J323" s="10">
        <v>14222119.02</v>
      </c>
      <c r="K323" t="s">
        <v>35</v>
      </c>
      <c r="L323" s="1">
        <f t="shared" si="4"/>
        <v>-14222119.02</v>
      </c>
      <c r="N323" s="6" t="str">
        <f>IF(ISERROR(VLOOKUP($A323,'Plano de Contas'!#REF!,8,FALSE)),"",VLOOKUP($A323,'Plano de Contas'!#REF!,8,FALSE))</f>
        <v/>
      </c>
      <c r="P323" s="6" t="str">
        <f>IF(ISERROR(VLOOKUP($A323,'Plano de Contas'!#REF!,10,FALSE)),"",VLOOKUP($A323,'Plano de Contas'!#REF!,10,FALSE))</f>
        <v/>
      </c>
    </row>
    <row r="324" spans="1:16" x14ac:dyDescent="0.25">
      <c r="L324" s="1">
        <f t="shared" si="4"/>
        <v>0</v>
      </c>
      <c r="N324" s="6" t="str">
        <f>IF(ISERROR(VLOOKUP($A324,'Plano de Contas'!#REF!,8,FALSE)),"",VLOOKUP($A324,'Plano de Contas'!#REF!,8,FALSE))</f>
        <v/>
      </c>
      <c r="P324" s="6" t="str">
        <f>IF(ISERROR(VLOOKUP($A324,'Plano de Contas'!#REF!,10,FALSE)),"",VLOOKUP($A324,'Plano de Contas'!#REF!,10,FALSE))</f>
        <v/>
      </c>
    </row>
    <row r="325" spans="1:16" x14ac:dyDescent="0.25">
      <c r="A325" t="s">
        <v>571</v>
      </c>
      <c r="B325">
        <v>149</v>
      </c>
      <c r="C325" t="s">
        <v>572</v>
      </c>
      <c r="D325" s="10">
        <v>2842026.81</v>
      </c>
      <c r="E325" t="s">
        <v>35</v>
      </c>
      <c r="F325" s="10">
        <v>2263327.71</v>
      </c>
      <c r="H325" s="10">
        <v>683564.05</v>
      </c>
      <c r="I325" t="s">
        <v>35</v>
      </c>
      <c r="J325" s="10">
        <v>1262263.1499999999</v>
      </c>
      <c r="K325" t="s">
        <v>35</v>
      </c>
      <c r="L325" s="1">
        <f t="shared" si="4"/>
        <v>-1262263.1499999999</v>
      </c>
      <c r="N325" s="6" t="str">
        <f>IF(ISERROR(VLOOKUP($A325,'Plano de Contas'!#REF!,8,FALSE)),"",VLOOKUP($A325,'Plano de Contas'!#REF!,8,FALSE))</f>
        <v/>
      </c>
      <c r="P325" s="6" t="str">
        <f>IF(ISERROR(VLOOKUP($A325,'Plano de Contas'!#REF!,10,FALSE)),"",VLOOKUP($A325,'Plano de Contas'!#REF!,10,FALSE))</f>
        <v/>
      </c>
    </row>
    <row r="326" spans="1:16" x14ac:dyDescent="0.25">
      <c r="A326" t="s">
        <v>573</v>
      </c>
      <c r="B326">
        <v>150</v>
      </c>
      <c r="C326" t="s">
        <v>574</v>
      </c>
      <c r="D326" s="10">
        <v>-513563.4</v>
      </c>
      <c r="F326" s="10">
        <v>112155.22</v>
      </c>
      <c r="H326" s="10">
        <v>-193777.71</v>
      </c>
      <c r="J326" s="10">
        <v>-595185.89</v>
      </c>
      <c r="L326" s="1">
        <f t="shared" si="4"/>
        <v>-595185.89</v>
      </c>
      <c r="N326" s="6" t="str">
        <f>IF(ISERROR(VLOOKUP($A326,'Plano de Contas'!#REF!,8,FALSE)),"",VLOOKUP($A326,'Plano de Contas'!#REF!,8,FALSE))</f>
        <v/>
      </c>
      <c r="P326" s="6" t="str">
        <f>IF(ISERROR(VLOOKUP($A326,'Plano de Contas'!#REF!,10,FALSE)),"",VLOOKUP($A326,'Plano de Contas'!#REF!,10,FALSE))</f>
        <v/>
      </c>
    </row>
    <row r="327" spans="1:16" x14ac:dyDescent="0.25">
      <c r="A327" t="s">
        <v>575</v>
      </c>
      <c r="B327">
        <v>151</v>
      </c>
      <c r="C327" t="s">
        <v>576</v>
      </c>
      <c r="D327" s="10">
        <v>-512850.9</v>
      </c>
      <c r="F327" s="10">
        <v>20874.71</v>
      </c>
      <c r="H327" s="10">
        <v>-45769.88</v>
      </c>
      <c r="J327" s="10">
        <v>-537746.06999999995</v>
      </c>
      <c r="L327" s="1">
        <f t="shared" si="4"/>
        <v>-537746.06999999995</v>
      </c>
      <c r="N327" s="6" t="str">
        <f>IF(ISERROR(VLOOKUP($A327,'Plano de Contas'!#REF!,8,FALSE)),"",VLOOKUP($A327,'Plano de Contas'!#REF!,8,FALSE))</f>
        <v/>
      </c>
      <c r="P327" s="6" t="str">
        <f>IF(ISERROR(VLOOKUP($A327,'Plano de Contas'!#REF!,10,FALSE)),"",VLOOKUP($A327,'Plano de Contas'!#REF!,10,FALSE))</f>
        <v/>
      </c>
    </row>
    <row r="328" spans="1:16" x14ac:dyDescent="0.25">
      <c r="A328" t="s">
        <v>577</v>
      </c>
      <c r="B328">
        <v>152</v>
      </c>
      <c r="C328" t="s">
        <v>578</v>
      </c>
      <c r="D328" s="10">
        <v>-126533.78</v>
      </c>
      <c r="F328" s="10">
        <v>6254.6</v>
      </c>
      <c r="H328" s="10">
        <v>-9052.01</v>
      </c>
      <c r="J328" s="10">
        <v>-129331.19</v>
      </c>
      <c r="L328" s="1">
        <f t="shared" ref="L328:L391" si="5">IF(K328="-",-J328,J328)</f>
        <v>-129331.19</v>
      </c>
      <c r="N328" s="6" t="str">
        <f>IF(ISERROR(VLOOKUP($A328,'Plano de Contas'!#REF!,8,FALSE)),"",VLOOKUP($A328,'Plano de Contas'!#REF!,8,FALSE))</f>
        <v/>
      </c>
      <c r="P328" s="6" t="str">
        <f>IF(ISERROR(VLOOKUP($A328,'Plano de Contas'!#REF!,10,FALSE)),"",VLOOKUP($A328,'Plano de Contas'!#REF!,10,FALSE))</f>
        <v/>
      </c>
    </row>
    <row r="329" spans="1:16" x14ac:dyDescent="0.25">
      <c r="A329" t="s">
        <v>579</v>
      </c>
      <c r="B329">
        <v>153</v>
      </c>
      <c r="C329" t="s">
        <v>580</v>
      </c>
      <c r="D329" s="10">
        <v>-1237351.6499999999</v>
      </c>
      <c r="F329" s="10">
        <v>1583414.75</v>
      </c>
      <c r="H329" s="10">
        <v>-346063.1</v>
      </c>
      <c r="J329">
        <v>0</v>
      </c>
      <c r="L329" s="1">
        <f t="shared" si="5"/>
        <v>0</v>
      </c>
      <c r="N329" s="6" t="str">
        <f>IF(ISERROR(VLOOKUP($A329,'Plano de Contas'!#REF!,8,FALSE)),"",VLOOKUP($A329,'Plano de Contas'!#REF!,8,FALSE))</f>
        <v/>
      </c>
      <c r="P329" s="6" t="str">
        <f>IF(ISERROR(VLOOKUP($A329,'Plano de Contas'!#REF!,10,FALSE)),"",VLOOKUP($A329,'Plano de Contas'!#REF!,10,FALSE))</f>
        <v/>
      </c>
    </row>
    <row r="330" spans="1:16" x14ac:dyDescent="0.25">
      <c r="A330" t="s">
        <v>581</v>
      </c>
      <c r="B330">
        <v>154</v>
      </c>
      <c r="C330" t="s">
        <v>582</v>
      </c>
      <c r="D330" s="10">
        <v>-351897.79</v>
      </c>
      <c r="F330" s="10">
        <v>415707.87</v>
      </c>
      <c r="H330" s="10">
        <v>-63810.080000000002</v>
      </c>
      <c r="J330">
        <v>0</v>
      </c>
      <c r="L330" s="1">
        <f t="shared" si="5"/>
        <v>0</v>
      </c>
      <c r="N330" s="6" t="str">
        <f>IF(ISERROR(VLOOKUP($A330,'Plano de Contas'!#REF!,8,FALSE)),"",VLOOKUP($A330,'Plano de Contas'!#REF!,8,FALSE))</f>
        <v/>
      </c>
      <c r="P330" s="6" t="str">
        <f>IF(ISERROR(VLOOKUP($A330,'Plano de Contas'!#REF!,10,FALSE)),"",VLOOKUP($A330,'Plano de Contas'!#REF!,10,FALSE))</f>
        <v/>
      </c>
    </row>
    <row r="331" spans="1:16" x14ac:dyDescent="0.25">
      <c r="A331" t="s">
        <v>583</v>
      </c>
      <c r="B331">
        <v>155</v>
      </c>
      <c r="C331" t="s">
        <v>584</v>
      </c>
      <c r="D331" s="10">
        <v>-99829.29</v>
      </c>
      <c r="F331" s="10">
        <v>124920.56</v>
      </c>
      <c r="H331" s="10">
        <v>-25091.27</v>
      </c>
      <c r="J331">
        <v>0</v>
      </c>
      <c r="L331" s="1">
        <f t="shared" si="5"/>
        <v>0</v>
      </c>
      <c r="N331" s="6" t="str">
        <f>IF(ISERROR(VLOOKUP($A331,'Plano de Contas'!#REF!,8,FALSE)),"",VLOOKUP($A331,'Plano de Contas'!#REF!,8,FALSE))</f>
        <v/>
      </c>
      <c r="P331" s="6" t="str">
        <f>IF(ISERROR(VLOOKUP($A331,'Plano de Contas'!#REF!,10,FALSE)),"",VLOOKUP($A331,'Plano de Contas'!#REF!,10,FALSE))</f>
        <v/>
      </c>
    </row>
    <row r="332" spans="1:16" x14ac:dyDescent="0.25">
      <c r="L332" s="1">
        <f t="shared" si="5"/>
        <v>0</v>
      </c>
      <c r="N332" s="6" t="str">
        <f>IF(ISERROR(VLOOKUP($A332,'Plano de Contas'!#REF!,8,FALSE)),"",VLOOKUP($A332,'Plano de Contas'!#REF!,8,FALSE))</f>
        <v/>
      </c>
      <c r="P332" s="6" t="str">
        <f>IF(ISERROR(VLOOKUP($A332,'Plano de Contas'!#REF!,10,FALSE)),"",VLOOKUP($A332,'Plano de Contas'!#REF!,10,FALSE))</f>
        <v/>
      </c>
    </row>
    <row r="333" spans="1:16" x14ac:dyDescent="0.25">
      <c r="A333" t="s">
        <v>585</v>
      </c>
      <c r="B333">
        <v>156</v>
      </c>
      <c r="C333" t="s">
        <v>586</v>
      </c>
      <c r="D333" s="10">
        <v>41076.39</v>
      </c>
      <c r="E333" t="s">
        <v>35</v>
      </c>
      <c r="F333" s="10">
        <v>53643.93</v>
      </c>
      <c r="H333" s="10">
        <v>228262.77</v>
      </c>
      <c r="I333" t="s">
        <v>35</v>
      </c>
      <c r="J333" s="10">
        <v>215695.23</v>
      </c>
      <c r="K333" t="s">
        <v>35</v>
      </c>
      <c r="L333" s="1">
        <f t="shared" si="5"/>
        <v>-215695.23</v>
      </c>
      <c r="N333" s="6" t="str">
        <f>IF(ISERROR(VLOOKUP($A333,'Plano de Contas'!#REF!,8,FALSE)),"",VLOOKUP($A333,'Plano de Contas'!#REF!,8,FALSE))</f>
        <v/>
      </c>
      <c r="P333" s="6" t="str">
        <f>IF(ISERROR(VLOOKUP($A333,'Plano de Contas'!#REF!,10,FALSE)),"",VLOOKUP($A333,'Plano de Contas'!#REF!,10,FALSE))</f>
        <v/>
      </c>
    </row>
    <row r="334" spans="1:16" x14ac:dyDescent="0.25">
      <c r="A334" t="s">
        <v>587</v>
      </c>
      <c r="B334">
        <v>686</v>
      </c>
      <c r="C334" t="s">
        <v>588</v>
      </c>
      <c r="D334" s="10">
        <v>70086.87</v>
      </c>
      <c r="E334" t="s">
        <v>35</v>
      </c>
      <c r="F334" s="10">
        <v>10128.209999999999</v>
      </c>
      <c r="H334" s="10">
        <v>112220.78</v>
      </c>
      <c r="I334" t="s">
        <v>35</v>
      </c>
      <c r="J334" s="10">
        <v>172179.44</v>
      </c>
      <c r="K334" t="s">
        <v>35</v>
      </c>
      <c r="L334" s="1">
        <f t="shared" si="5"/>
        <v>-172179.44</v>
      </c>
      <c r="N334" s="6" t="str">
        <f>IF(ISERROR(VLOOKUP($A334,'Plano de Contas'!#REF!,8,FALSE)),"",VLOOKUP($A334,'Plano de Contas'!#REF!,8,FALSE))</f>
        <v/>
      </c>
      <c r="P334" s="6" t="str">
        <f>IF(ISERROR(VLOOKUP($A334,'Plano de Contas'!#REF!,10,FALSE)),"",VLOOKUP($A334,'Plano de Contas'!#REF!,10,FALSE))</f>
        <v/>
      </c>
    </row>
    <row r="335" spans="1:16" x14ac:dyDescent="0.25">
      <c r="A335" t="s">
        <v>589</v>
      </c>
      <c r="B335">
        <v>689</v>
      </c>
      <c r="C335" t="s">
        <v>590</v>
      </c>
      <c r="D335" s="10">
        <v>29010.48</v>
      </c>
      <c r="F335" s="10">
        <v>43515.72</v>
      </c>
      <c r="H335" s="10">
        <v>116041.99</v>
      </c>
      <c r="I335" t="s">
        <v>35</v>
      </c>
      <c r="J335" s="10">
        <v>43515.79</v>
      </c>
      <c r="K335" t="s">
        <v>35</v>
      </c>
      <c r="L335" s="1">
        <f t="shared" si="5"/>
        <v>-43515.79</v>
      </c>
      <c r="N335" s="6" t="str">
        <f>IF(ISERROR(VLOOKUP($A335,'Plano de Contas'!#REF!,8,FALSE)),"",VLOOKUP($A335,'Plano de Contas'!#REF!,8,FALSE))</f>
        <v/>
      </c>
      <c r="P335" s="6" t="str">
        <f>IF(ISERROR(VLOOKUP($A335,'Plano de Contas'!#REF!,10,FALSE)),"",VLOOKUP($A335,'Plano de Contas'!#REF!,10,FALSE))</f>
        <v/>
      </c>
    </row>
    <row r="336" spans="1:16" x14ac:dyDescent="0.25">
      <c r="L336" s="1">
        <f t="shared" si="5"/>
        <v>0</v>
      </c>
      <c r="N336" s="6" t="str">
        <f>IF(ISERROR(VLOOKUP($A336,'Plano de Contas'!#REF!,8,FALSE)),"",VLOOKUP($A336,'Plano de Contas'!#REF!,8,FALSE))</f>
        <v/>
      </c>
      <c r="P336" s="6" t="str">
        <f>IF(ISERROR(VLOOKUP($A336,'Plano de Contas'!#REF!,10,FALSE)),"",VLOOKUP($A336,'Plano de Contas'!#REF!,10,FALSE))</f>
        <v/>
      </c>
    </row>
    <row r="337" spans="1:16" x14ac:dyDescent="0.25">
      <c r="A337" t="s">
        <v>591</v>
      </c>
      <c r="B337">
        <v>157</v>
      </c>
      <c r="C337" t="s">
        <v>592</v>
      </c>
      <c r="D337" s="10">
        <v>2283775.69</v>
      </c>
      <c r="E337" t="s">
        <v>35</v>
      </c>
      <c r="F337">
        <v>0</v>
      </c>
      <c r="H337" s="10">
        <v>510911.75</v>
      </c>
      <c r="I337" t="s">
        <v>35</v>
      </c>
      <c r="J337" s="10">
        <v>2794687.44</v>
      </c>
      <c r="K337" t="s">
        <v>35</v>
      </c>
      <c r="L337" s="1">
        <f t="shared" si="5"/>
        <v>-2794687.44</v>
      </c>
      <c r="N337" s="6" t="str">
        <f>IF(ISERROR(VLOOKUP($A337,'Plano de Contas'!#REF!,8,FALSE)),"",VLOOKUP($A337,'Plano de Contas'!#REF!,8,FALSE))</f>
        <v/>
      </c>
      <c r="P337" s="6" t="str">
        <f>IF(ISERROR(VLOOKUP($A337,'Plano de Contas'!#REF!,10,FALSE)),"",VLOOKUP($A337,'Plano de Contas'!#REF!,10,FALSE))</f>
        <v/>
      </c>
    </row>
    <row r="338" spans="1:16" x14ac:dyDescent="0.25">
      <c r="A338" t="s">
        <v>593</v>
      </c>
      <c r="B338">
        <v>325</v>
      </c>
      <c r="C338" t="s">
        <v>594</v>
      </c>
      <c r="D338" s="10">
        <v>2283775.69</v>
      </c>
      <c r="E338" t="s">
        <v>35</v>
      </c>
      <c r="F338">
        <v>0</v>
      </c>
      <c r="H338" s="10">
        <v>510911.75</v>
      </c>
      <c r="I338" t="s">
        <v>35</v>
      </c>
      <c r="J338" s="10">
        <v>2794687.44</v>
      </c>
      <c r="K338" t="s">
        <v>35</v>
      </c>
      <c r="L338" s="1">
        <f t="shared" si="5"/>
        <v>-2794687.44</v>
      </c>
      <c r="N338" s="6" t="str">
        <f>IF(ISERROR(VLOOKUP($A338,'Plano de Contas'!#REF!,8,FALSE)),"",VLOOKUP($A338,'Plano de Contas'!#REF!,8,FALSE))</f>
        <v/>
      </c>
      <c r="P338" s="6" t="str">
        <f>IF(ISERROR(VLOOKUP($A338,'Plano de Contas'!#REF!,10,FALSE)),"",VLOOKUP($A338,'Plano de Contas'!#REF!,10,FALSE))</f>
        <v/>
      </c>
    </row>
    <row r="339" spans="1:16" x14ac:dyDescent="0.25">
      <c r="L339" s="1">
        <f t="shared" si="5"/>
        <v>0</v>
      </c>
      <c r="N339" s="6" t="str">
        <f>IF(ISERROR(VLOOKUP($A339,'Plano de Contas'!#REF!,8,FALSE)),"",VLOOKUP($A339,'Plano de Contas'!#REF!,8,FALSE))</f>
        <v/>
      </c>
      <c r="P339" s="6" t="str">
        <f>IF(ISERROR(VLOOKUP($A339,'Plano de Contas'!#REF!,10,FALSE)),"",VLOOKUP($A339,'Plano de Contas'!#REF!,10,FALSE))</f>
        <v/>
      </c>
    </row>
    <row r="340" spans="1:16" x14ac:dyDescent="0.25">
      <c r="A340" t="s">
        <v>595</v>
      </c>
      <c r="B340">
        <v>158</v>
      </c>
      <c r="C340" t="s">
        <v>596</v>
      </c>
      <c r="D340" s="10">
        <v>191122.41</v>
      </c>
      <c r="E340" t="s">
        <v>35</v>
      </c>
      <c r="F340" s="10">
        <v>65750.66</v>
      </c>
      <c r="H340" s="10">
        <v>7065.54</v>
      </c>
      <c r="I340" t="s">
        <v>35</v>
      </c>
      <c r="J340" s="10">
        <v>132437.29</v>
      </c>
      <c r="K340" t="s">
        <v>35</v>
      </c>
      <c r="L340" s="1">
        <f t="shared" si="5"/>
        <v>-132437.29</v>
      </c>
      <c r="N340" s="6" t="str">
        <f>IF(ISERROR(VLOOKUP($A340,'Plano de Contas'!#REF!,8,FALSE)),"",VLOOKUP($A340,'Plano de Contas'!#REF!,8,FALSE))</f>
        <v/>
      </c>
      <c r="P340" s="6" t="str">
        <f>IF(ISERROR(VLOOKUP($A340,'Plano de Contas'!#REF!,10,FALSE)),"",VLOOKUP($A340,'Plano de Contas'!#REF!,10,FALSE))</f>
        <v/>
      </c>
    </row>
    <row r="341" spans="1:16" x14ac:dyDescent="0.25">
      <c r="A341" t="s">
        <v>597</v>
      </c>
      <c r="B341">
        <v>326</v>
      </c>
      <c r="C341" t="s">
        <v>598</v>
      </c>
      <c r="D341" s="10">
        <v>120983.79</v>
      </c>
      <c r="E341" t="s">
        <v>35</v>
      </c>
      <c r="F341" s="10">
        <v>65750.66</v>
      </c>
      <c r="H341" s="10">
        <v>7065.54</v>
      </c>
      <c r="I341" t="s">
        <v>35</v>
      </c>
      <c r="J341" s="10">
        <v>62298.67</v>
      </c>
      <c r="K341" t="s">
        <v>35</v>
      </c>
      <c r="L341" s="1">
        <f t="shared" si="5"/>
        <v>-62298.67</v>
      </c>
      <c r="N341" s="6" t="str">
        <f>IF(ISERROR(VLOOKUP($A341,'Plano de Contas'!#REF!,8,FALSE)),"",VLOOKUP($A341,'Plano de Contas'!#REF!,8,FALSE))</f>
        <v/>
      </c>
      <c r="P341" s="6" t="str">
        <f>IF(ISERROR(VLOOKUP($A341,'Plano de Contas'!#REF!,10,FALSE)),"",VLOOKUP($A341,'Plano de Contas'!#REF!,10,FALSE))</f>
        <v/>
      </c>
    </row>
    <row r="342" spans="1:16" x14ac:dyDescent="0.25">
      <c r="A342" t="s">
        <v>599</v>
      </c>
      <c r="B342">
        <v>923</v>
      </c>
      <c r="C342" t="s">
        <v>600</v>
      </c>
      <c r="D342" s="10">
        <v>-70138.62</v>
      </c>
      <c r="F342">
        <v>0</v>
      </c>
      <c r="H342">
        <v>0</v>
      </c>
      <c r="J342" s="10">
        <v>-70138.62</v>
      </c>
      <c r="L342" s="1">
        <f t="shared" si="5"/>
        <v>-70138.62</v>
      </c>
      <c r="N342" s="6" t="str">
        <f>IF(ISERROR(VLOOKUP($A342,'Plano de Contas'!#REF!,8,FALSE)),"",VLOOKUP($A342,'Plano de Contas'!#REF!,8,FALSE))</f>
        <v/>
      </c>
      <c r="P342" s="6" t="str">
        <f>IF(ISERROR(VLOOKUP($A342,'Plano de Contas'!#REF!,10,FALSE)),"",VLOOKUP($A342,'Plano de Contas'!#REF!,10,FALSE))</f>
        <v/>
      </c>
    </row>
    <row r="343" spans="1:16" x14ac:dyDescent="0.25">
      <c r="L343" s="1">
        <f t="shared" si="5"/>
        <v>0</v>
      </c>
      <c r="N343" s="6" t="str">
        <f>IF(ISERROR(VLOOKUP($A343,'Plano de Contas'!#REF!,8,FALSE)),"",VLOOKUP($A343,'Plano de Contas'!#REF!,8,FALSE))</f>
        <v/>
      </c>
      <c r="P343" s="6" t="str">
        <f>IF(ISERROR(VLOOKUP($A343,'Plano de Contas'!#REF!,10,FALSE)),"",VLOOKUP($A343,'Plano de Contas'!#REF!,10,FALSE))</f>
        <v/>
      </c>
    </row>
    <row r="344" spans="1:16" x14ac:dyDescent="0.25">
      <c r="A344" t="s">
        <v>601</v>
      </c>
      <c r="B344">
        <v>432</v>
      </c>
      <c r="C344" t="s">
        <v>602</v>
      </c>
      <c r="D344" s="10">
        <v>772246.63</v>
      </c>
      <c r="E344" t="s">
        <v>35</v>
      </c>
      <c r="F344" s="10">
        <v>38194.93</v>
      </c>
      <c r="H344" s="10">
        <v>101462.38</v>
      </c>
      <c r="I344" t="s">
        <v>35</v>
      </c>
      <c r="J344" s="10">
        <v>835514.08</v>
      </c>
      <c r="K344" t="s">
        <v>35</v>
      </c>
      <c r="L344" s="1">
        <f t="shared" si="5"/>
        <v>-835514.08</v>
      </c>
      <c r="N344" s="6" t="str">
        <f>IF(ISERROR(VLOOKUP($A344,'Plano de Contas'!#REF!,8,FALSE)),"",VLOOKUP($A344,'Plano de Contas'!#REF!,8,FALSE))</f>
        <v/>
      </c>
      <c r="P344" s="6" t="str">
        <f>IF(ISERROR(VLOOKUP($A344,'Plano de Contas'!#REF!,10,FALSE)),"",VLOOKUP($A344,'Plano de Contas'!#REF!,10,FALSE))</f>
        <v/>
      </c>
    </row>
    <row r="345" spans="1:16" x14ac:dyDescent="0.25">
      <c r="A345" t="s">
        <v>603</v>
      </c>
      <c r="B345">
        <v>433</v>
      </c>
      <c r="C345" t="s">
        <v>604</v>
      </c>
      <c r="D345" s="10">
        <v>582725.07999999996</v>
      </c>
      <c r="E345" t="s">
        <v>35</v>
      </c>
      <c r="F345" s="10">
        <v>38194.93</v>
      </c>
      <c r="H345" s="10">
        <v>99334.48</v>
      </c>
      <c r="I345" t="s">
        <v>35</v>
      </c>
      <c r="J345" s="10">
        <v>643864.63</v>
      </c>
      <c r="K345" t="s">
        <v>35</v>
      </c>
      <c r="L345" s="1">
        <f t="shared" si="5"/>
        <v>-643864.63</v>
      </c>
      <c r="N345" s="6" t="str">
        <f>IF(ISERROR(VLOOKUP($A345,'Plano de Contas'!#REF!,8,FALSE)),"",VLOOKUP($A345,'Plano de Contas'!#REF!,8,FALSE))</f>
        <v/>
      </c>
      <c r="P345" s="6" t="str">
        <f>IF(ISERROR(VLOOKUP($A345,'Plano de Contas'!#REF!,10,FALSE)),"",VLOOKUP($A345,'Plano de Contas'!#REF!,10,FALSE))</f>
        <v/>
      </c>
    </row>
    <row r="346" spans="1:16" x14ac:dyDescent="0.25">
      <c r="A346" t="s">
        <v>605</v>
      </c>
      <c r="B346">
        <v>669</v>
      </c>
      <c r="C346" t="s">
        <v>606</v>
      </c>
      <c r="D346" s="10">
        <v>189521.55</v>
      </c>
      <c r="E346" t="s">
        <v>35</v>
      </c>
      <c r="F346">
        <v>0</v>
      </c>
      <c r="H346">
        <v>0</v>
      </c>
      <c r="J346" s="10">
        <v>189521.55</v>
      </c>
      <c r="K346" t="s">
        <v>35</v>
      </c>
      <c r="L346" s="1">
        <f t="shared" si="5"/>
        <v>-189521.55</v>
      </c>
      <c r="N346" s="6" t="str">
        <f>IF(ISERROR(VLOOKUP($A346,'Plano de Contas'!#REF!,8,FALSE)),"",VLOOKUP($A346,'Plano de Contas'!#REF!,8,FALSE))</f>
        <v/>
      </c>
      <c r="P346" s="6" t="str">
        <f>IF(ISERROR(VLOOKUP($A346,'Plano de Contas'!#REF!,10,FALSE)),"",VLOOKUP($A346,'Plano de Contas'!#REF!,10,FALSE))</f>
        <v/>
      </c>
    </row>
    <row r="347" spans="1:16" x14ac:dyDescent="0.25">
      <c r="A347" t="s">
        <v>607</v>
      </c>
      <c r="B347">
        <v>967</v>
      </c>
      <c r="C347" t="s">
        <v>235</v>
      </c>
      <c r="D347">
        <v>0</v>
      </c>
      <c r="F347">
        <v>0</v>
      </c>
      <c r="H347" s="10">
        <v>2127.9</v>
      </c>
      <c r="I347" t="s">
        <v>35</v>
      </c>
      <c r="J347" s="10">
        <v>2127.9</v>
      </c>
      <c r="K347" t="s">
        <v>35</v>
      </c>
      <c r="L347" s="1">
        <f t="shared" si="5"/>
        <v>-2127.9</v>
      </c>
      <c r="N347" s="6" t="str">
        <f>IF(ISERROR(VLOOKUP($A347,'Plano de Contas'!#REF!,8,FALSE)),"",VLOOKUP($A347,'Plano de Contas'!#REF!,8,FALSE))</f>
        <v/>
      </c>
      <c r="P347" s="6" t="str">
        <f>IF(ISERROR(VLOOKUP($A347,'Plano de Contas'!#REF!,10,FALSE)),"",VLOOKUP($A347,'Plano de Contas'!#REF!,10,FALSE))</f>
        <v/>
      </c>
    </row>
    <row r="348" spans="1:16" x14ac:dyDescent="0.25">
      <c r="L348" s="1">
        <f t="shared" si="5"/>
        <v>0</v>
      </c>
      <c r="N348" s="6" t="str">
        <f>IF(ISERROR(VLOOKUP($A348,'Plano de Contas'!#REF!,8,FALSE)),"",VLOOKUP($A348,'Plano de Contas'!#REF!,8,FALSE))</f>
        <v/>
      </c>
      <c r="P348" s="6" t="str">
        <f>IF(ISERROR(VLOOKUP($A348,'Plano de Contas'!#REF!,10,FALSE)),"",VLOOKUP($A348,'Plano de Contas'!#REF!,10,FALSE))</f>
        <v/>
      </c>
    </row>
    <row r="349" spans="1:16" x14ac:dyDescent="0.25">
      <c r="A349" t="s">
        <v>608</v>
      </c>
      <c r="B349">
        <v>159</v>
      </c>
      <c r="C349" t="s">
        <v>609</v>
      </c>
      <c r="D349" s="10">
        <v>973434.39</v>
      </c>
      <c r="E349" t="s">
        <v>35</v>
      </c>
      <c r="F349" s="10">
        <v>45178.87</v>
      </c>
      <c r="H349" s="10">
        <v>22581.360000000001</v>
      </c>
      <c r="I349" t="s">
        <v>35</v>
      </c>
      <c r="J349" s="10">
        <v>950836.88</v>
      </c>
      <c r="K349" t="s">
        <v>35</v>
      </c>
      <c r="L349" s="1">
        <f t="shared" si="5"/>
        <v>-950836.88</v>
      </c>
      <c r="N349" s="6" t="str">
        <f>IF(ISERROR(VLOOKUP($A349,'Plano de Contas'!#REF!,8,FALSE)),"",VLOOKUP($A349,'Plano de Contas'!#REF!,8,FALSE))</f>
        <v/>
      </c>
      <c r="P349" s="6" t="str">
        <f>IF(ISERROR(VLOOKUP($A349,'Plano de Contas'!#REF!,10,FALSE)),"",VLOOKUP($A349,'Plano de Contas'!#REF!,10,FALSE))</f>
        <v/>
      </c>
    </row>
    <row r="350" spans="1:16" x14ac:dyDescent="0.25">
      <c r="A350" t="s">
        <v>610</v>
      </c>
      <c r="B350">
        <v>160</v>
      </c>
      <c r="C350" t="s">
        <v>611</v>
      </c>
      <c r="D350" s="10">
        <v>-38879.480000000003</v>
      </c>
      <c r="F350">
        <v>0</v>
      </c>
      <c r="H350">
        <v>0</v>
      </c>
      <c r="J350" s="10">
        <v>-38879.480000000003</v>
      </c>
      <c r="L350" s="1">
        <f t="shared" si="5"/>
        <v>-38879.480000000003</v>
      </c>
      <c r="N350" s="6" t="str">
        <f>IF(ISERROR(VLOOKUP($A350,'Plano de Contas'!#REF!,8,FALSE)),"",VLOOKUP($A350,'Plano de Contas'!#REF!,8,FALSE))</f>
        <v/>
      </c>
      <c r="P350" s="6" t="str">
        <f>IF(ISERROR(VLOOKUP($A350,'Plano de Contas'!#REF!,10,FALSE)),"",VLOOKUP($A350,'Plano de Contas'!#REF!,10,FALSE))</f>
        <v/>
      </c>
    </row>
    <row r="351" spans="1:16" x14ac:dyDescent="0.25">
      <c r="A351" t="s">
        <v>612</v>
      </c>
      <c r="B351">
        <v>428</v>
      </c>
      <c r="C351" t="s">
        <v>613</v>
      </c>
      <c r="D351">
        <v>122.99</v>
      </c>
      <c r="E351" t="s">
        <v>35</v>
      </c>
      <c r="F351">
        <v>0</v>
      </c>
      <c r="H351">
        <v>0</v>
      </c>
      <c r="J351">
        <v>122.99</v>
      </c>
      <c r="K351" t="s">
        <v>35</v>
      </c>
      <c r="L351" s="1">
        <f t="shared" si="5"/>
        <v>-122.99</v>
      </c>
      <c r="N351" s="6" t="str">
        <f>IF(ISERROR(VLOOKUP($A351,'Plano de Contas'!#REF!,8,FALSE)),"",VLOOKUP($A351,'Plano de Contas'!#REF!,8,FALSE))</f>
        <v/>
      </c>
      <c r="P351" s="6" t="str">
        <f>IF(ISERROR(VLOOKUP($A351,'Plano de Contas'!#REF!,10,FALSE)),"",VLOOKUP($A351,'Plano de Contas'!#REF!,10,FALSE))</f>
        <v/>
      </c>
    </row>
    <row r="352" spans="1:16" x14ac:dyDescent="0.25">
      <c r="A352" t="s">
        <v>614</v>
      </c>
      <c r="B352">
        <v>548</v>
      </c>
      <c r="C352" t="s">
        <v>615</v>
      </c>
      <c r="D352">
        <v>0.34</v>
      </c>
      <c r="E352" t="s">
        <v>35</v>
      </c>
      <c r="F352">
        <v>0</v>
      </c>
      <c r="H352">
        <v>0</v>
      </c>
      <c r="J352">
        <v>0.34</v>
      </c>
      <c r="K352" t="s">
        <v>35</v>
      </c>
      <c r="L352" s="1">
        <f t="shared" si="5"/>
        <v>-0.34</v>
      </c>
      <c r="N352" s="6" t="str">
        <f>IF(ISERROR(VLOOKUP($A352,'Plano de Contas'!#REF!,8,FALSE)),"",VLOOKUP($A352,'Plano de Contas'!#REF!,8,FALSE))</f>
        <v/>
      </c>
      <c r="P352" s="6" t="str">
        <f>IF(ISERROR(VLOOKUP($A352,'Plano de Contas'!#REF!,10,FALSE)),"",VLOOKUP($A352,'Plano de Contas'!#REF!,10,FALSE))</f>
        <v/>
      </c>
    </row>
    <row r="353" spans="1:16" x14ac:dyDescent="0.25">
      <c r="A353" t="s">
        <v>616</v>
      </c>
      <c r="B353">
        <v>640</v>
      </c>
      <c r="C353" t="s">
        <v>617</v>
      </c>
      <c r="D353" s="10">
        <v>912120</v>
      </c>
      <c r="E353" t="s">
        <v>35</v>
      </c>
      <c r="F353">
        <v>0</v>
      </c>
      <c r="H353">
        <v>0</v>
      </c>
      <c r="J353" s="10">
        <v>912120</v>
      </c>
      <c r="K353" t="s">
        <v>35</v>
      </c>
      <c r="L353" s="1">
        <f t="shared" si="5"/>
        <v>-912120</v>
      </c>
      <c r="N353" s="6" t="str">
        <f>IF(ISERROR(VLOOKUP($A353,'Plano de Contas'!#REF!,8,FALSE)),"",VLOOKUP($A353,'Plano de Contas'!#REF!,8,FALSE))</f>
        <v/>
      </c>
      <c r="P353" s="6" t="str">
        <f>IF(ISERROR(VLOOKUP($A353,'Plano de Contas'!#REF!,10,FALSE)),"",VLOOKUP($A353,'Plano de Contas'!#REF!,10,FALSE))</f>
        <v/>
      </c>
    </row>
    <row r="354" spans="1:16" x14ac:dyDescent="0.25">
      <c r="A354" t="s">
        <v>618</v>
      </c>
      <c r="B354">
        <v>722</v>
      </c>
      <c r="C354" t="s">
        <v>619</v>
      </c>
      <c r="D354" s="10">
        <v>22311.58</v>
      </c>
      <c r="E354" t="s">
        <v>35</v>
      </c>
      <c r="F354" s="10">
        <v>45178.87</v>
      </c>
      <c r="H354" s="10">
        <v>22581.360000000001</v>
      </c>
      <c r="I354" t="s">
        <v>35</v>
      </c>
      <c r="J354">
        <v>285.93</v>
      </c>
      <c r="L354" s="1">
        <f t="shared" si="5"/>
        <v>285.93</v>
      </c>
      <c r="N354" s="6" t="str">
        <f>IF(ISERROR(VLOOKUP($A354,'Plano de Contas'!#REF!,8,FALSE)),"",VLOOKUP($A354,'Plano de Contas'!#REF!,8,FALSE))</f>
        <v/>
      </c>
      <c r="P354" s="6" t="str">
        <f>IF(ISERROR(VLOOKUP($A354,'Plano de Contas'!#REF!,10,FALSE)),"",VLOOKUP($A354,'Plano de Contas'!#REF!,10,FALSE))</f>
        <v/>
      </c>
    </row>
    <row r="355" spans="1:16" x14ac:dyDescent="0.25">
      <c r="L355" s="1">
        <f t="shared" si="5"/>
        <v>0</v>
      </c>
      <c r="N355" s="6" t="str">
        <f>IF(ISERROR(VLOOKUP($A355,'Plano de Contas'!#REF!,8,FALSE)),"",VLOOKUP($A355,'Plano de Contas'!#REF!,8,FALSE))</f>
        <v/>
      </c>
      <c r="P355" s="6" t="str">
        <f>IF(ISERROR(VLOOKUP($A355,'Plano de Contas'!#REF!,10,FALSE)),"",VLOOKUP($A355,'Plano de Contas'!#REF!,10,FALSE))</f>
        <v/>
      </c>
    </row>
    <row r="356" spans="1:16" x14ac:dyDescent="0.25">
      <c r="A356" t="s">
        <v>620</v>
      </c>
      <c r="B356">
        <v>619</v>
      </c>
      <c r="C356" t="s">
        <v>621</v>
      </c>
      <c r="D356" s="10">
        <v>8513522.2699999996</v>
      </c>
      <c r="E356" t="s">
        <v>35</v>
      </c>
      <c r="F356">
        <v>0</v>
      </c>
      <c r="H356">
        <v>0</v>
      </c>
      <c r="J356" s="10">
        <v>8513522.2699999996</v>
      </c>
      <c r="K356" t="s">
        <v>35</v>
      </c>
      <c r="L356" s="1">
        <f t="shared" si="5"/>
        <v>-8513522.2699999996</v>
      </c>
      <c r="N356" s="6" t="str">
        <f>IF(ISERROR(VLOOKUP($A356,'Plano de Contas'!#REF!,8,FALSE)),"",VLOOKUP($A356,'Plano de Contas'!#REF!,8,FALSE))</f>
        <v/>
      </c>
      <c r="P356" s="6" t="str">
        <f>IF(ISERROR(VLOOKUP($A356,'Plano de Contas'!#REF!,10,FALSE)),"",VLOOKUP($A356,'Plano de Contas'!#REF!,10,FALSE))</f>
        <v/>
      </c>
    </row>
    <row r="357" spans="1:16" x14ac:dyDescent="0.25">
      <c r="A357" t="s">
        <v>622</v>
      </c>
      <c r="B357">
        <v>620</v>
      </c>
      <c r="C357" t="s">
        <v>623</v>
      </c>
      <c r="D357" s="10">
        <v>8513522.2699999996</v>
      </c>
      <c r="E357" t="s">
        <v>35</v>
      </c>
      <c r="F357">
        <v>0</v>
      </c>
      <c r="H357">
        <v>0</v>
      </c>
      <c r="J357" s="10">
        <v>8513522.2699999996</v>
      </c>
      <c r="K357" t="s">
        <v>35</v>
      </c>
      <c r="L357" s="1">
        <f t="shared" si="5"/>
        <v>-8513522.2699999996</v>
      </c>
      <c r="N357" s="6" t="str">
        <f>IF(ISERROR(VLOOKUP($A357,'Plano de Contas'!#REF!,8,FALSE)),"",VLOOKUP($A357,'Plano de Contas'!#REF!,8,FALSE))</f>
        <v/>
      </c>
      <c r="P357" s="6" t="str">
        <f>IF(ISERROR(VLOOKUP($A357,'Plano de Contas'!#REF!,10,FALSE)),"",VLOOKUP($A357,'Plano de Contas'!#REF!,10,FALSE))</f>
        <v/>
      </c>
    </row>
    <row r="358" spans="1:16" x14ac:dyDescent="0.25">
      <c r="L358" s="1">
        <f t="shared" si="5"/>
        <v>0</v>
      </c>
      <c r="N358" s="6" t="str">
        <f>IF(ISERROR(VLOOKUP($A358,'Plano de Contas'!#REF!,8,FALSE)),"",VLOOKUP($A358,'Plano de Contas'!#REF!,8,FALSE))</f>
        <v/>
      </c>
      <c r="P358" s="6" t="str">
        <f>IF(ISERROR(VLOOKUP($A358,'Plano de Contas'!#REF!,10,FALSE)),"",VLOOKUP($A358,'Plano de Contas'!#REF!,10,FALSE))</f>
        <v/>
      </c>
    </row>
    <row r="359" spans="1:16" x14ac:dyDescent="0.25">
      <c r="A359" t="s">
        <v>624</v>
      </c>
      <c r="B359">
        <v>161</v>
      </c>
      <c r="C359" t="s">
        <v>625</v>
      </c>
      <c r="D359" s="10">
        <v>1449720814.51</v>
      </c>
      <c r="E359" t="s">
        <v>35</v>
      </c>
      <c r="F359" s="10">
        <v>228262.77</v>
      </c>
      <c r="H359" s="10">
        <v>5439953.2199999997</v>
      </c>
      <c r="I359" t="s">
        <v>35</v>
      </c>
      <c r="J359" s="10">
        <v>1454932504.96</v>
      </c>
      <c r="K359" t="s">
        <v>35</v>
      </c>
      <c r="L359" s="1">
        <f t="shared" si="5"/>
        <v>-1454932504.96</v>
      </c>
      <c r="N359" s="6" t="str">
        <f>IF(ISERROR(VLOOKUP($A359,'Plano de Contas'!#REF!,8,FALSE)),"",VLOOKUP($A359,'Plano de Contas'!#REF!,8,FALSE))</f>
        <v/>
      </c>
      <c r="P359" s="6" t="str">
        <f>IF(ISERROR(VLOOKUP($A359,'Plano de Contas'!#REF!,10,FALSE)),"",VLOOKUP($A359,'Plano de Contas'!#REF!,10,FALSE))</f>
        <v/>
      </c>
    </row>
    <row r="360" spans="1:16" x14ac:dyDescent="0.25">
      <c r="L360" s="1">
        <f t="shared" si="5"/>
        <v>0</v>
      </c>
      <c r="N360" s="6" t="str">
        <f>IF(ISERROR(VLOOKUP($A360,'Plano de Contas'!#REF!,8,FALSE)),"",VLOOKUP($A360,'Plano de Contas'!#REF!,8,FALSE))</f>
        <v/>
      </c>
      <c r="P360" s="6" t="str">
        <f>IF(ISERROR(VLOOKUP($A360,'Plano de Contas'!#REF!,10,FALSE)),"",VLOOKUP($A360,'Plano de Contas'!#REF!,10,FALSE))</f>
        <v/>
      </c>
    </row>
    <row r="361" spans="1:16" x14ac:dyDescent="0.25">
      <c r="A361" t="s">
        <v>626</v>
      </c>
      <c r="B361">
        <v>162</v>
      </c>
      <c r="C361" t="s">
        <v>627</v>
      </c>
      <c r="D361" s="10">
        <v>1449720814.51</v>
      </c>
      <c r="E361" t="s">
        <v>35</v>
      </c>
      <c r="F361" s="10">
        <v>228262.77</v>
      </c>
      <c r="H361" s="10">
        <v>5439953.2199999997</v>
      </c>
      <c r="I361" t="s">
        <v>35</v>
      </c>
      <c r="J361" s="10">
        <v>1454932504.96</v>
      </c>
      <c r="K361" t="s">
        <v>35</v>
      </c>
      <c r="L361" s="1">
        <f t="shared" si="5"/>
        <v>-1454932504.96</v>
      </c>
      <c r="N361" s="6" t="str">
        <f>IF(ISERROR(VLOOKUP($A361,'Plano de Contas'!#REF!,8,FALSE)),"",VLOOKUP($A361,'Plano de Contas'!#REF!,8,FALSE))</f>
        <v/>
      </c>
      <c r="P361" s="6" t="str">
        <f>IF(ISERROR(VLOOKUP($A361,'Plano de Contas'!#REF!,10,FALSE)),"",VLOOKUP($A361,'Plano de Contas'!#REF!,10,FALSE))</f>
        <v/>
      </c>
    </row>
    <row r="362" spans="1:16" x14ac:dyDescent="0.25">
      <c r="L362" s="1">
        <f t="shared" si="5"/>
        <v>0</v>
      </c>
      <c r="N362" s="6" t="str">
        <f>IF(ISERROR(VLOOKUP($A362,'Plano de Contas'!#REF!,8,FALSE)),"",VLOOKUP($A362,'Plano de Contas'!#REF!,8,FALSE))</f>
        <v/>
      </c>
      <c r="P362" s="6" t="str">
        <f>IF(ISERROR(VLOOKUP($A362,'Plano de Contas'!#REF!,10,FALSE)),"",VLOOKUP($A362,'Plano de Contas'!#REF!,10,FALSE))</f>
        <v/>
      </c>
    </row>
    <row r="363" spans="1:16" x14ac:dyDescent="0.25">
      <c r="A363" t="s">
        <v>628</v>
      </c>
      <c r="B363">
        <v>164</v>
      </c>
      <c r="C363" t="s">
        <v>586</v>
      </c>
      <c r="D363" s="10">
        <v>228262.77</v>
      </c>
      <c r="E363" t="s">
        <v>35</v>
      </c>
      <c r="F363" s="10">
        <v>228262.77</v>
      </c>
      <c r="H363">
        <v>0</v>
      </c>
      <c r="J363">
        <v>0</v>
      </c>
      <c r="L363" s="1">
        <f t="shared" si="5"/>
        <v>0</v>
      </c>
      <c r="N363" s="6" t="str">
        <f>IF(ISERROR(VLOOKUP($A363,'Plano de Contas'!#REF!,8,FALSE)),"",VLOOKUP($A363,'Plano de Contas'!#REF!,8,FALSE))</f>
        <v/>
      </c>
      <c r="P363" s="6" t="str">
        <f>IF(ISERROR(VLOOKUP($A363,'Plano de Contas'!#REF!,10,FALSE)),"",VLOOKUP($A363,'Plano de Contas'!#REF!,10,FALSE))</f>
        <v/>
      </c>
    </row>
    <row r="364" spans="1:16" x14ac:dyDescent="0.25">
      <c r="A364" t="s">
        <v>629</v>
      </c>
      <c r="B364">
        <v>687</v>
      </c>
      <c r="C364" t="s">
        <v>588</v>
      </c>
      <c r="D364" s="10">
        <v>112220.78</v>
      </c>
      <c r="E364" t="s">
        <v>35</v>
      </c>
      <c r="F364" s="10">
        <v>112220.78</v>
      </c>
      <c r="H364">
        <v>0</v>
      </c>
      <c r="J364">
        <v>0</v>
      </c>
      <c r="L364" s="1">
        <f t="shared" si="5"/>
        <v>0</v>
      </c>
      <c r="N364" s="6" t="str">
        <f>IF(ISERROR(VLOOKUP($A364,'Plano de Contas'!#REF!,8,FALSE)),"",VLOOKUP($A364,'Plano de Contas'!#REF!,8,FALSE))</f>
        <v/>
      </c>
      <c r="P364" s="6" t="str">
        <f>IF(ISERROR(VLOOKUP($A364,'Plano de Contas'!#REF!,10,FALSE)),"",VLOOKUP($A364,'Plano de Contas'!#REF!,10,FALSE))</f>
        <v/>
      </c>
    </row>
    <row r="365" spans="1:16" x14ac:dyDescent="0.25">
      <c r="A365" t="s">
        <v>630</v>
      </c>
      <c r="B365">
        <v>690</v>
      </c>
      <c r="C365" t="s">
        <v>590</v>
      </c>
      <c r="D365" s="10">
        <v>116041.99</v>
      </c>
      <c r="E365" t="s">
        <v>35</v>
      </c>
      <c r="F365" s="10">
        <v>116041.99</v>
      </c>
      <c r="H365">
        <v>0</v>
      </c>
      <c r="J365">
        <v>0</v>
      </c>
      <c r="L365" s="1">
        <f t="shared" si="5"/>
        <v>0</v>
      </c>
      <c r="N365" s="6" t="str">
        <f>IF(ISERROR(VLOOKUP($A365,'Plano de Contas'!#REF!,8,FALSE)),"",VLOOKUP($A365,'Plano de Contas'!#REF!,8,FALSE))</f>
        <v/>
      </c>
      <c r="P365" s="6" t="str">
        <f>IF(ISERROR(VLOOKUP($A365,'Plano de Contas'!#REF!,10,FALSE)),"",VLOOKUP($A365,'Plano de Contas'!#REF!,10,FALSE))</f>
        <v/>
      </c>
    </row>
    <row r="366" spans="1:16" x14ac:dyDescent="0.25">
      <c r="L366" s="1">
        <f t="shared" si="5"/>
        <v>0</v>
      </c>
      <c r="N366" s="6" t="str">
        <f>IF(ISERROR(VLOOKUP($A366,'Plano de Contas'!#REF!,8,FALSE)),"",VLOOKUP($A366,'Plano de Contas'!#REF!,8,FALSE))</f>
        <v/>
      </c>
      <c r="P366" s="6" t="str">
        <f>IF(ISERROR(VLOOKUP($A366,'Plano de Contas'!#REF!,10,FALSE)),"",VLOOKUP($A366,'Plano de Contas'!#REF!,10,FALSE))</f>
        <v/>
      </c>
    </row>
    <row r="367" spans="1:16" x14ac:dyDescent="0.25">
      <c r="A367" t="s">
        <v>631</v>
      </c>
      <c r="B367">
        <v>581</v>
      </c>
      <c r="C367" t="s">
        <v>632</v>
      </c>
      <c r="D367" s="10">
        <v>449023830.12</v>
      </c>
      <c r="E367" t="s">
        <v>35</v>
      </c>
      <c r="F367">
        <v>0</v>
      </c>
      <c r="H367" s="10">
        <v>5439953.2199999997</v>
      </c>
      <c r="I367" t="s">
        <v>35</v>
      </c>
      <c r="J367" s="10">
        <v>454463783.33999997</v>
      </c>
      <c r="K367" t="s">
        <v>35</v>
      </c>
      <c r="L367" s="1">
        <f t="shared" si="5"/>
        <v>-454463783.33999997</v>
      </c>
      <c r="N367" s="6" t="str">
        <f>IF(ISERROR(VLOOKUP($A367,'Plano de Contas'!#REF!,8,FALSE)),"",VLOOKUP($A367,'Plano de Contas'!#REF!,8,FALSE))</f>
        <v/>
      </c>
      <c r="P367" s="6" t="str">
        <f>IF(ISERROR(VLOOKUP($A367,'Plano de Contas'!#REF!,10,FALSE)),"",VLOOKUP($A367,'Plano de Contas'!#REF!,10,FALSE))</f>
        <v/>
      </c>
    </row>
    <row r="368" spans="1:16" x14ac:dyDescent="0.25">
      <c r="A368" t="s">
        <v>633</v>
      </c>
      <c r="B368">
        <v>634</v>
      </c>
      <c r="C368" t="s">
        <v>634</v>
      </c>
      <c r="D368" s="10">
        <v>449023830.12</v>
      </c>
      <c r="E368" t="s">
        <v>35</v>
      </c>
      <c r="F368">
        <v>0</v>
      </c>
      <c r="H368" s="10">
        <v>5439953.2199999997</v>
      </c>
      <c r="I368" t="s">
        <v>35</v>
      </c>
      <c r="J368" s="10">
        <v>454463783.33999997</v>
      </c>
      <c r="K368" t="s">
        <v>35</v>
      </c>
      <c r="L368" s="1">
        <f t="shared" si="5"/>
        <v>-454463783.33999997</v>
      </c>
      <c r="N368" s="6" t="str">
        <f>IF(ISERROR(VLOOKUP($A368,'Plano de Contas'!#REF!,8,FALSE)),"",VLOOKUP($A368,'Plano de Contas'!#REF!,8,FALSE))</f>
        <v/>
      </c>
      <c r="P368" s="6" t="str">
        <f>IF(ISERROR(VLOOKUP($A368,'Plano de Contas'!#REF!,10,FALSE)),"",VLOOKUP($A368,'Plano de Contas'!#REF!,10,FALSE))</f>
        <v/>
      </c>
    </row>
    <row r="369" spans="1:16" x14ac:dyDescent="0.25">
      <c r="L369" s="1">
        <f t="shared" si="5"/>
        <v>0</v>
      </c>
      <c r="N369" s="6" t="str">
        <f>IF(ISERROR(VLOOKUP($A369,'Plano de Contas'!#REF!,8,FALSE)),"",VLOOKUP($A369,'Plano de Contas'!#REF!,8,FALSE))</f>
        <v/>
      </c>
      <c r="P369" s="6" t="str">
        <f>IF(ISERROR(VLOOKUP($A369,'Plano de Contas'!#REF!,10,FALSE)),"",VLOOKUP($A369,'Plano de Contas'!#REF!,10,FALSE))</f>
        <v/>
      </c>
    </row>
    <row r="370" spans="1:16" x14ac:dyDescent="0.25">
      <c r="A370" t="s">
        <v>635</v>
      </c>
      <c r="B370">
        <v>613</v>
      </c>
      <c r="C370" t="s">
        <v>636</v>
      </c>
      <c r="D370" s="10">
        <v>623533016.34000003</v>
      </c>
      <c r="E370" t="s">
        <v>35</v>
      </c>
      <c r="F370">
        <v>0</v>
      </c>
      <c r="H370">
        <v>0</v>
      </c>
      <c r="J370" s="10">
        <v>623533016.34000003</v>
      </c>
      <c r="K370" t="s">
        <v>35</v>
      </c>
      <c r="L370" s="1">
        <f t="shared" si="5"/>
        <v>-623533016.34000003</v>
      </c>
      <c r="N370" s="6" t="str">
        <f>IF(ISERROR(VLOOKUP($A370,'Plano de Contas'!#REF!,8,FALSE)),"",VLOOKUP($A370,'Plano de Contas'!#REF!,8,FALSE))</f>
        <v/>
      </c>
      <c r="P370" s="6" t="str">
        <f>IF(ISERROR(VLOOKUP($A370,'Plano de Contas'!#REF!,10,FALSE)),"",VLOOKUP($A370,'Plano de Contas'!#REF!,10,FALSE))</f>
        <v/>
      </c>
    </row>
    <row r="371" spans="1:16" x14ac:dyDescent="0.25">
      <c r="A371" t="s">
        <v>637</v>
      </c>
      <c r="B371">
        <v>614</v>
      </c>
      <c r="C371" t="s">
        <v>638</v>
      </c>
      <c r="D371" s="10">
        <v>623533016.34000003</v>
      </c>
      <c r="E371" t="s">
        <v>35</v>
      </c>
      <c r="F371">
        <v>0</v>
      </c>
      <c r="H371">
        <v>0</v>
      </c>
      <c r="J371" s="10">
        <v>623533016.34000003</v>
      </c>
      <c r="K371" t="s">
        <v>35</v>
      </c>
      <c r="L371" s="1">
        <f t="shared" si="5"/>
        <v>-623533016.34000003</v>
      </c>
      <c r="N371" s="6" t="str">
        <f>IF(ISERROR(VLOOKUP($A371,'Plano de Contas'!#REF!,8,FALSE)),"",VLOOKUP($A371,'Plano de Contas'!#REF!,8,FALSE))</f>
        <v/>
      </c>
      <c r="P371" s="6" t="str">
        <f>IF(ISERROR(VLOOKUP($A371,'Plano de Contas'!#REF!,10,FALSE)),"",VLOOKUP($A371,'Plano de Contas'!#REF!,10,FALSE))</f>
        <v/>
      </c>
    </row>
    <row r="372" spans="1:16" x14ac:dyDescent="0.25">
      <c r="L372" s="1">
        <f t="shared" si="5"/>
        <v>0</v>
      </c>
      <c r="N372" s="6" t="str">
        <f>IF(ISERROR(VLOOKUP($A372,'Plano de Contas'!#REF!,8,FALSE)),"",VLOOKUP($A372,'Plano de Contas'!#REF!,8,FALSE))</f>
        <v/>
      </c>
      <c r="P372" s="6" t="str">
        <f>IF(ISERROR(VLOOKUP($A372,'Plano de Contas'!#REF!,10,FALSE)),"",VLOOKUP($A372,'Plano de Contas'!#REF!,10,FALSE))</f>
        <v/>
      </c>
    </row>
    <row r="373" spans="1:16" x14ac:dyDescent="0.25">
      <c r="A373" t="s">
        <v>639</v>
      </c>
      <c r="B373">
        <v>165</v>
      </c>
      <c r="C373" t="s">
        <v>609</v>
      </c>
      <c r="D373" s="10">
        <v>53493284.670000002</v>
      </c>
      <c r="E373" t="s">
        <v>35</v>
      </c>
      <c r="F373">
        <v>0</v>
      </c>
      <c r="H373">
        <v>0</v>
      </c>
      <c r="J373" s="10">
        <v>53493284.670000002</v>
      </c>
      <c r="K373" t="s">
        <v>35</v>
      </c>
      <c r="L373" s="1">
        <f t="shared" si="5"/>
        <v>-53493284.670000002</v>
      </c>
      <c r="N373" s="6" t="str">
        <f>IF(ISERROR(VLOOKUP($A373,'Plano de Contas'!#REF!,8,FALSE)),"",VLOOKUP($A373,'Plano de Contas'!#REF!,8,FALSE))</f>
        <v/>
      </c>
      <c r="P373" s="6" t="str">
        <f>IF(ISERROR(VLOOKUP($A373,'Plano de Contas'!#REF!,10,FALSE)),"",VLOOKUP($A373,'Plano de Contas'!#REF!,10,FALSE))</f>
        <v/>
      </c>
    </row>
    <row r="374" spans="1:16" x14ac:dyDescent="0.25">
      <c r="A374" t="s">
        <v>640</v>
      </c>
      <c r="B374">
        <v>328</v>
      </c>
      <c r="C374" t="s">
        <v>641</v>
      </c>
      <c r="D374" s="10">
        <v>11524181.65</v>
      </c>
      <c r="E374" t="s">
        <v>35</v>
      </c>
      <c r="F374">
        <v>0</v>
      </c>
      <c r="H374">
        <v>0</v>
      </c>
      <c r="J374" s="10">
        <v>11524181.65</v>
      </c>
      <c r="K374" t="s">
        <v>35</v>
      </c>
      <c r="L374" s="1">
        <f t="shared" si="5"/>
        <v>-11524181.65</v>
      </c>
      <c r="N374" s="6" t="str">
        <f>IF(ISERROR(VLOOKUP($A374,'Plano de Contas'!#REF!,8,FALSE)),"",VLOOKUP($A374,'Plano de Contas'!#REF!,8,FALSE))</f>
        <v/>
      </c>
      <c r="P374" s="6" t="str">
        <f>IF(ISERROR(VLOOKUP($A374,'Plano de Contas'!#REF!,10,FALSE)),"",VLOOKUP($A374,'Plano de Contas'!#REF!,10,FALSE))</f>
        <v/>
      </c>
    </row>
    <row r="375" spans="1:16" x14ac:dyDescent="0.25">
      <c r="A375" t="s">
        <v>642</v>
      </c>
      <c r="B375">
        <v>970</v>
      </c>
      <c r="C375" t="s">
        <v>643</v>
      </c>
      <c r="D375" s="10">
        <v>41969103.020000003</v>
      </c>
      <c r="E375" t="s">
        <v>35</v>
      </c>
      <c r="F375">
        <v>0</v>
      </c>
      <c r="H375">
        <v>0</v>
      </c>
      <c r="J375" s="10">
        <v>41969103.020000003</v>
      </c>
      <c r="K375" t="s">
        <v>35</v>
      </c>
      <c r="L375" s="1">
        <f t="shared" si="5"/>
        <v>-41969103.020000003</v>
      </c>
      <c r="N375" s="6" t="str">
        <f>IF(ISERROR(VLOOKUP($A375,'Plano de Contas'!#REF!,8,FALSE)),"",VLOOKUP($A375,'Plano de Contas'!#REF!,8,FALSE))</f>
        <v/>
      </c>
      <c r="P375" s="6" t="str">
        <f>IF(ISERROR(VLOOKUP($A375,'Plano de Contas'!#REF!,10,FALSE)),"",VLOOKUP($A375,'Plano de Contas'!#REF!,10,FALSE))</f>
        <v/>
      </c>
    </row>
    <row r="376" spans="1:16" x14ac:dyDescent="0.25">
      <c r="L376" s="1">
        <f t="shared" si="5"/>
        <v>0</v>
      </c>
      <c r="N376" s="6" t="str">
        <f>IF(ISERROR(VLOOKUP($A376,'Plano de Contas'!#REF!,8,FALSE)),"",VLOOKUP($A376,'Plano de Contas'!#REF!,8,FALSE))</f>
        <v/>
      </c>
      <c r="P376" s="6" t="str">
        <f>IF(ISERROR(VLOOKUP($A376,'Plano de Contas'!#REF!,10,FALSE)),"",VLOOKUP($A376,'Plano de Contas'!#REF!,10,FALSE))</f>
        <v/>
      </c>
    </row>
    <row r="377" spans="1:16" x14ac:dyDescent="0.25">
      <c r="A377" t="s">
        <v>644</v>
      </c>
      <c r="B377">
        <v>472</v>
      </c>
      <c r="C377" t="s">
        <v>645</v>
      </c>
      <c r="D377">
        <v>414</v>
      </c>
      <c r="E377" t="s">
        <v>35</v>
      </c>
      <c r="F377">
        <v>0</v>
      </c>
      <c r="H377">
        <v>0</v>
      </c>
      <c r="J377">
        <v>414</v>
      </c>
      <c r="K377" t="s">
        <v>35</v>
      </c>
      <c r="L377" s="1">
        <f t="shared" si="5"/>
        <v>-414</v>
      </c>
      <c r="N377" s="6" t="str">
        <f>IF(ISERROR(VLOOKUP($A377,'Plano de Contas'!#REF!,8,FALSE)),"",VLOOKUP($A377,'Plano de Contas'!#REF!,8,FALSE))</f>
        <v/>
      </c>
      <c r="P377" s="6" t="str">
        <f>IF(ISERROR(VLOOKUP($A377,'Plano de Contas'!#REF!,10,FALSE)),"",VLOOKUP($A377,'Plano de Contas'!#REF!,10,FALSE))</f>
        <v/>
      </c>
    </row>
    <row r="378" spans="1:16" x14ac:dyDescent="0.25">
      <c r="A378" t="s">
        <v>646</v>
      </c>
      <c r="B378">
        <v>564</v>
      </c>
      <c r="C378" t="s">
        <v>647</v>
      </c>
      <c r="D378">
        <v>414</v>
      </c>
      <c r="E378" t="s">
        <v>35</v>
      </c>
      <c r="F378">
        <v>0</v>
      </c>
      <c r="H378">
        <v>0</v>
      </c>
      <c r="J378">
        <v>414</v>
      </c>
      <c r="K378" t="s">
        <v>35</v>
      </c>
      <c r="L378" s="1">
        <f t="shared" si="5"/>
        <v>-414</v>
      </c>
      <c r="N378" s="6" t="str">
        <f>IF(ISERROR(VLOOKUP($A378,'Plano de Contas'!#REF!,8,FALSE)),"",VLOOKUP($A378,'Plano de Contas'!#REF!,8,FALSE))</f>
        <v/>
      </c>
      <c r="P378" s="6" t="str">
        <f>IF(ISERROR(VLOOKUP($A378,'Plano de Contas'!#REF!,10,FALSE)),"",VLOOKUP($A378,'Plano de Contas'!#REF!,10,FALSE))</f>
        <v/>
      </c>
    </row>
    <row r="379" spans="1:16" x14ac:dyDescent="0.25">
      <c r="L379" s="1">
        <f t="shared" si="5"/>
        <v>0</v>
      </c>
      <c r="N379" s="6" t="str">
        <f>IF(ISERROR(VLOOKUP($A379,'Plano de Contas'!#REF!,8,FALSE)),"",VLOOKUP($A379,'Plano de Contas'!#REF!,8,FALSE))</f>
        <v/>
      </c>
      <c r="P379" s="6" t="str">
        <f>IF(ISERROR(VLOOKUP($A379,'Plano de Contas'!#REF!,10,FALSE)),"",VLOOKUP($A379,'Plano de Contas'!#REF!,10,FALSE))</f>
        <v/>
      </c>
    </row>
    <row r="380" spans="1:16" x14ac:dyDescent="0.25">
      <c r="A380" t="s">
        <v>648</v>
      </c>
      <c r="B380">
        <v>906</v>
      </c>
      <c r="C380" t="s">
        <v>649</v>
      </c>
      <c r="D380" s="10">
        <v>323442006.61000001</v>
      </c>
      <c r="E380" t="s">
        <v>35</v>
      </c>
      <c r="F380">
        <v>0</v>
      </c>
      <c r="H380">
        <v>0</v>
      </c>
      <c r="J380" s="10">
        <v>323442006.61000001</v>
      </c>
      <c r="K380" t="s">
        <v>35</v>
      </c>
      <c r="L380" s="1">
        <f t="shared" si="5"/>
        <v>-323442006.61000001</v>
      </c>
      <c r="N380" s="6" t="str">
        <f>IF(ISERROR(VLOOKUP($A380,'Plano de Contas'!#REF!,8,FALSE)),"",VLOOKUP($A380,'Plano de Contas'!#REF!,8,FALSE))</f>
        <v/>
      </c>
      <c r="P380" s="6" t="str">
        <f>IF(ISERROR(VLOOKUP($A380,'Plano de Contas'!#REF!,10,FALSE)),"",VLOOKUP($A380,'Plano de Contas'!#REF!,10,FALSE))</f>
        <v/>
      </c>
    </row>
    <row r="381" spans="1:16" x14ac:dyDescent="0.25">
      <c r="A381" t="s">
        <v>650</v>
      </c>
      <c r="B381">
        <v>907</v>
      </c>
      <c r="C381" t="s">
        <v>651</v>
      </c>
      <c r="D381" s="10">
        <v>323442006.61000001</v>
      </c>
      <c r="E381" t="s">
        <v>35</v>
      </c>
      <c r="F381">
        <v>0</v>
      </c>
      <c r="H381">
        <v>0</v>
      </c>
      <c r="J381" s="10">
        <v>323442006.61000001</v>
      </c>
      <c r="K381" t="s">
        <v>35</v>
      </c>
      <c r="L381" s="1">
        <f t="shared" si="5"/>
        <v>-323442006.61000001</v>
      </c>
      <c r="N381" s="6" t="str">
        <f>IF(ISERROR(VLOOKUP($A381,'Plano de Contas'!#REF!,8,FALSE)),"",VLOOKUP($A381,'Plano de Contas'!#REF!,8,FALSE))</f>
        <v/>
      </c>
      <c r="P381" s="6" t="str">
        <f>IF(ISERROR(VLOOKUP($A381,'Plano de Contas'!#REF!,10,FALSE)),"",VLOOKUP($A381,'Plano de Contas'!#REF!,10,FALSE))</f>
        <v/>
      </c>
    </row>
    <row r="382" spans="1:16" x14ac:dyDescent="0.25">
      <c r="L382" s="1">
        <f t="shared" si="5"/>
        <v>0</v>
      </c>
      <c r="N382" s="6" t="str">
        <f>IF(ISERROR(VLOOKUP($A382,'Plano de Contas'!#REF!,8,FALSE)),"",VLOOKUP($A382,'Plano de Contas'!#REF!,8,FALSE))</f>
        <v/>
      </c>
      <c r="P382" s="6" t="str">
        <f>IF(ISERROR(VLOOKUP($A382,'Plano de Contas'!#REF!,10,FALSE)),"",VLOOKUP($A382,'Plano de Contas'!#REF!,10,FALSE))</f>
        <v/>
      </c>
    </row>
    <row r="383" spans="1:16" x14ac:dyDescent="0.25">
      <c r="A383" t="s">
        <v>652</v>
      </c>
      <c r="B383">
        <v>168</v>
      </c>
      <c r="C383" t="s">
        <v>653</v>
      </c>
      <c r="D383" s="10">
        <v>1195514336.1300001</v>
      </c>
      <c r="E383" t="s">
        <v>35</v>
      </c>
      <c r="F383">
        <v>0</v>
      </c>
      <c r="H383" s="10">
        <v>46336166.75</v>
      </c>
      <c r="I383" t="s">
        <v>35</v>
      </c>
      <c r="J383" s="10">
        <v>1241850502.8800001</v>
      </c>
      <c r="K383" t="s">
        <v>35</v>
      </c>
      <c r="L383" s="1">
        <f t="shared" si="5"/>
        <v>-1241850502.8800001</v>
      </c>
      <c r="N383" s="6" t="str">
        <f>IF(ISERROR(VLOOKUP($A383,'Plano de Contas'!#REF!,8,FALSE)),"",VLOOKUP($A383,'Plano de Contas'!#REF!,8,FALSE))</f>
        <v/>
      </c>
      <c r="P383" s="6" t="str">
        <f>IF(ISERROR(VLOOKUP($A383,'Plano de Contas'!#REF!,10,FALSE)),"",VLOOKUP($A383,'Plano de Contas'!#REF!,10,FALSE))</f>
        <v/>
      </c>
    </row>
    <row r="384" spans="1:16" x14ac:dyDescent="0.25">
      <c r="L384" s="1">
        <f t="shared" si="5"/>
        <v>0</v>
      </c>
      <c r="N384" s="6" t="str">
        <f>IF(ISERROR(VLOOKUP($A384,'Plano de Contas'!#REF!,8,FALSE)),"",VLOOKUP($A384,'Plano de Contas'!#REF!,8,FALSE))</f>
        <v/>
      </c>
      <c r="P384" s="6" t="str">
        <f>IF(ISERROR(VLOOKUP($A384,'Plano de Contas'!#REF!,10,FALSE)),"",VLOOKUP($A384,'Plano de Contas'!#REF!,10,FALSE))</f>
        <v/>
      </c>
    </row>
    <row r="385" spans="1:16" x14ac:dyDescent="0.25">
      <c r="A385" t="s">
        <v>654</v>
      </c>
      <c r="B385">
        <v>169</v>
      </c>
      <c r="C385" t="s">
        <v>655</v>
      </c>
      <c r="D385" s="10">
        <v>999190148.38</v>
      </c>
      <c r="E385" t="s">
        <v>35</v>
      </c>
      <c r="F385">
        <v>0</v>
      </c>
      <c r="H385">
        <v>0</v>
      </c>
      <c r="J385" s="10">
        <v>999190148.38</v>
      </c>
      <c r="K385" t="s">
        <v>35</v>
      </c>
      <c r="L385" s="1">
        <f t="shared" si="5"/>
        <v>-999190148.38</v>
      </c>
      <c r="N385" s="6" t="str">
        <f>IF(ISERROR(VLOOKUP($A385,'Plano de Contas'!#REF!,8,FALSE)),"",VLOOKUP($A385,'Plano de Contas'!#REF!,8,FALSE))</f>
        <v/>
      </c>
      <c r="P385" s="6" t="str">
        <f>IF(ISERROR(VLOOKUP($A385,'Plano de Contas'!#REF!,10,FALSE)),"",VLOOKUP($A385,'Plano de Contas'!#REF!,10,FALSE))</f>
        <v/>
      </c>
    </row>
    <row r="386" spans="1:16" x14ac:dyDescent="0.25">
      <c r="L386" s="1">
        <f t="shared" si="5"/>
        <v>0</v>
      </c>
      <c r="N386" s="6" t="str">
        <f>IF(ISERROR(VLOOKUP($A386,'Plano de Contas'!#REF!,8,FALSE)),"",VLOOKUP($A386,'Plano de Contas'!#REF!,8,FALSE))</f>
        <v/>
      </c>
      <c r="P386" s="6" t="str">
        <f>IF(ISERROR(VLOOKUP($A386,'Plano de Contas'!#REF!,10,FALSE)),"",VLOOKUP($A386,'Plano de Contas'!#REF!,10,FALSE))</f>
        <v/>
      </c>
    </row>
    <row r="387" spans="1:16" x14ac:dyDescent="0.25">
      <c r="A387" t="s">
        <v>656</v>
      </c>
      <c r="B387">
        <v>170</v>
      </c>
      <c r="C387" t="s">
        <v>657</v>
      </c>
      <c r="D387" s="10">
        <v>999190148.38</v>
      </c>
      <c r="E387" t="s">
        <v>35</v>
      </c>
      <c r="F387">
        <v>0</v>
      </c>
      <c r="H387">
        <v>0</v>
      </c>
      <c r="J387" s="10">
        <v>999190148.38</v>
      </c>
      <c r="K387" t="s">
        <v>35</v>
      </c>
      <c r="L387" s="1">
        <f t="shared" si="5"/>
        <v>-999190148.38</v>
      </c>
      <c r="N387" s="6" t="str">
        <f>IF(ISERROR(VLOOKUP($A387,'Plano de Contas'!#REF!,8,FALSE)),"",VLOOKUP($A387,'Plano de Contas'!#REF!,8,FALSE))</f>
        <v/>
      </c>
      <c r="P387" s="6" t="str">
        <f>IF(ISERROR(VLOOKUP($A387,'Plano de Contas'!#REF!,10,FALSE)),"",VLOOKUP($A387,'Plano de Contas'!#REF!,10,FALSE))</f>
        <v/>
      </c>
    </row>
    <row r="388" spans="1:16" x14ac:dyDescent="0.25">
      <c r="A388" t="s">
        <v>658</v>
      </c>
      <c r="B388">
        <v>171</v>
      </c>
      <c r="C388" t="s">
        <v>659</v>
      </c>
      <c r="D388" s="10">
        <v>999190148.38</v>
      </c>
      <c r="E388" t="s">
        <v>35</v>
      </c>
      <c r="F388">
        <v>0</v>
      </c>
      <c r="H388">
        <v>0</v>
      </c>
      <c r="J388" s="10">
        <v>999190148.38</v>
      </c>
      <c r="K388" t="s">
        <v>35</v>
      </c>
      <c r="L388" s="1">
        <f t="shared" si="5"/>
        <v>-999190148.38</v>
      </c>
      <c r="N388" s="6" t="str">
        <f>IF(ISERROR(VLOOKUP($A388,'Plano de Contas'!#REF!,8,FALSE)),"",VLOOKUP($A388,'Plano de Contas'!#REF!,8,FALSE))</f>
        <v/>
      </c>
      <c r="P388" s="6" t="str">
        <f>IF(ISERROR(VLOOKUP($A388,'Plano de Contas'!#REF!,10,FALSE)),"",VLOOKUP($A388,'Plano de Contas'!#REF!,10,FALSE))</f>
        <v/>
      </c>
    </row>
    <row r="389" spans="1:16" x14ac:dyDescent="0.25">
      <c r="L389" s="1">
        <f t="shared" si="5"/>
        <v>0</v>
      </c>
      <c r="N389" s="6" t="str">
        <f>IF(ISERROR(VLOOKUP($A389,'Plano de Contas'!#REF!,8,FALSE)),"",VLOOKUP($A389,'Plano de Contas'!#REF!,8,FALSE))</f>
        <v/>
      </c>
      <c r="P389" s="6" t="str">
        <f>IF(ISERROR(VLOOKUP($A389,'Plano de Contas'!#REF!,10,FALSE)),"",VLOOKUP($A389,'Plano de Contas'!#REF!,10,FALSE))</f>
        <v/>
      </c>
    </row>
    <row r="390" spans="1:16" x14ac:dyDescent="0.25">
      <c r="A390" t="s">
        <v>660</v>
      </c>
      <c r="B390">
        <v>173</v>
      </c>
      <c r="C390" t="s">
        <v>661</v>
      </c>
      <c r="D390" s="10">
        <v>984946.55</v>
      </c>
      <c r="E390" t="s">
        <v>35</v>
      </c>
      <c r="F390">
        <v>0</v>
      </c>
      <c r="H390">
        <v>0</v>
      </c>
      <c r="J390" s="10">
        <v>984946.55</v>
      </c>
      <c r="K390" t="s">
        <v>35</v>
      </c>
      <c r="L390" s="1">
        <f t="shared" si="5"/>
        <v>-984946.55</v>
      </c>
      <c r="N390" s="6" t="str">
        <f>IF(ISERROR(VLOOKUP($A390,'Plano de Contas'!#REF!,8,FALSE)),"",VLOOKUP($A390,'Plano de Contas'!#REF!,8,FALSE))</f>
        <v/>
      </c>
      <c r="P390" s="6" t="str">
        <f>IF(ISERROR(VLOOKUP($A390,'Plano de Contas'!#REF!,10,FALSE)),"",VLOOKUP($A390,'Plano de Contas'!#REF!,10,FALSE))</f>
        <v/>
      </c>
    </row>
    <row r="391" spans="1:16" x14ac:dyDescent="0.25">
      <c r="L391" s="1">
        <f t="shared" si="5"/>
        <v>0</v>
      </c>
      <c r="N391" s="6" t="str">
        <f>IF(ISERROR(VLOOKUP($A391,'Plano de Contas'!#REF!,8,FALSE)),"",VLOOKUP($A391,'Plano de Contas'!#REF!,8,FALSE))</f>
        <v/>
      </c>
      <c r="P391" s="6" t="str">
        <f>IF(ISERROR(VLOOKUP($A391,'Plano de Contas'!#REF!,10,FALSE)),"",VLOOKUP($A391,'Plano de Contas'!#REF!,10,FALSE))</f>
        <v/>
      </c>
    </row>
    <row r="392" spans="1:16" x14ac:dyDescent="0.25">
      <c r="A392" t="s">
        <v>662</v>
      </c>
      <c r="B392">
        <v>174</v>
      </c>
      <c r="C392" t="s">
        <v>663</v>
      </c>
      <c r="D392" s="10">
        <v>948261.98</v>
      </c>
      <c r="E392" t="s">
        <v>35</v>
      </c>
      <c r="F392">
        <v>0</v>
      </c>
      <c r="H392">
        <v>0</v>
      </c>
      <c r="J392" s="10">
        <v>948261.98</v>
      </c>
      <c r="K392" t="s">
        <v>35</v>
      </c>
      <c r="L392" s="1">
        <f t="shared" ref="L392:L455" si="6">IF(K392="-",-J392,J392)</f>
        <v>-948261.98</v>
      </c>
      <c r="N392" s="6" t="str">
        <f>IF(ISERROR(VLOOKUP($A392,'Plano de Contas'!#REF!,8,FALSE)),"",VLOOKUP($A392,'Plano de Contas'!#REF!,8,FALSE))</f>
        <v/>
      </c>
      <c r="P392" s="6" t="str">
        <f>IF(ISERROR(VLOOKUP($A392,'Plano de Contas'!#REF!,10,FALSE)),"",VLOOKUP($A392,'Plano de Contas'!#REF!,10,FALSE))</f>
        <v/>
      </c>
    </row>
    <row r="393" spans="1:16" x14ac:dyDescent="0.25">
      <c r="A393" t="s">
        <v>664</v>
      </c>
      <c r="B393">
        <v>175</v>
      </c>
      <c r="C393" t="s">
        <v>665</v>
      </c>
      <c r="D393" s="10">
        <v>-2777.91</v>
      </c>
      <c r="F393">
        <v>0</v>
      </c>
      <c r="H393">
        <v>0</v>
      </c>
      <c r="J393" s="10">
        <v>-2777.91</v>
      </c>
      <c r="L393" s="1">
        <f t="shared" si="6"/>
        <v>-2777.91</v>
      </c>
      <c r="N393" s="6" t="str">
        <f>IF(ISERROR(VLOOKUP($A393,'Plano de Contas'!#REF!,8,FALSE)),"",VLOOKUP($A393,'Plano de Contas'!#REF!,8,FALSE))</f>
        <v/>
      </c>
      <c r="P393" s="6" t="str">
        <f>IF(ISERROR(VLOOKUP($A393,'Plano de Contas'!#REF!,10,FALSE)),"",VLOOKUP($A393,'Plano de Contas'!#REF!,10,FALSE))</f>
        <v/>
      </c>
    </row>
    <row r="394" spans="1:16" x14ac:dyDescent="0.25">
      <c r="A394" t="s">
        <v>666</v>
      </c>
      <c r="B394">
        <v>176</v>
      </c>
      <c r="C394" t="s">
        <v>667</v>
      </c>
      <c r="D394" s="10">
        <v>-2193.35</v>
      </c>
      <c r="F394">
        <v>0</v>
      </c>
      <c r="H394">
        <v>0</v>
      </c>
      <c r="J394" s="10">
        <v>-2193.35</v>
      </c>
      <c r="L394" s="1">
        <f t="shared" si="6"/>
        <v>-2193.35</v>
      </c>
      <c r="N394" s="6" t="str">
        <f>IF(ISERROR(VLOOKUP($A394,'Plano de Contas'!#REF!,8,FALSE)),"",VLOOKUP($A394,'Plano de Contas'!#REF!,8,FALSE))</f>
        <v/>
      </c>
      <c r="P394" s="6" t="str">
        <f>IF(ISERROR(VLOOKUP($A394,'Plano de Contas'!#REF!,10,FALSE)),"",VLOOKUP($A394,'Plano de Contas'!#REF!,10,FALSE))</f>
        <v/>
      </c>
    </row>
    <row r="395" spans="1:16" x14ac:dyDescent="0.25">
      <c r="A395" t="s">
        <v>668</v>
      </c>
      <c r="B395">
        <v>515</v>
      </c>
      <c r="C395" t="s">
        <v>669</v>
      </c>
      <c r="D395" s="10">
        <v>-920000</v>
      </c>
      <c r="F395">
        <v>0</v>
      </c>
      <c r="H395">
        <v>0</v>
      </c>
      <c r="J395" s="10">
        <v>-920000</v>
      </c>
      <c r="L395" s="1">
        <f t="shared" si="6"/>
        <v>-920000</v>
      </c>
      <c r="N395" s="6" t="str">
        <f>IF(ISERROR(VLOOKUP($A395,'Plano de Contas'!#REF!,8,FALSE)),"",VLOOKUP($A395,'Plano de Contas'!#REF!,8,FALSE))</f>
        <v/>
      </c>
      <c r="P395" s="6" t="str">
        <f>IF(ISERROR(VLOOKUP($A395,'Plano de Contas'!#REF!,10,FALSE)),"",VLOOKUP($A395,'Plano de Contas'!#REF!,10,FALSE))</f>
        <v/>
      </c>
    </row>
    <row r="396" spans="1:16" x14ac:dyDescent="0.25">
      <c r="A396" t="s">
        <v>670</v>
      </c>
      <c r="B396">
        <v>565</v>
      </c>
      <c r="C396" t="s">
        <v>671</v>
      </c>
      <c r="D396" s="10">
        <v>-23290.720000000001</v>
      </c>
      <c r="F396">
        <v>0</v>
      </c>
      <c r="H396">
        <v>0</v>
      </c>
      <c r="J396" s="10">
        <v>-23290.720000000001</v>
      </c>
      <c r="L396" s="1">
        <f t="shared" si="6"/>
        <v>-23290.720000000001</v>
      </c>
      <c r="N396" s="6" t="str">
        <f>IF(ISERROR(VLOOKUP($A396,'Plano de Contas'!#REF!,8,FALSE)),"",VLOOKUP($A396,'Plano de Contas'!#REF!,8,FALSE))</f>
        <v/>
      </c>
      <c r="P396" s="6" t="str">
        <f>IF(ISERROR(VLOOKUP($A396,'Plano de Contas'!#REF!,10,FALSE)),"",VLOOKUP($A396,'Plano de Contas'!#REF!,10,FALSE))</f>
        <v/>
      </c>
    </row>
    <row r="397" spans="1:16" x14ac:dyDescent="0.25">
      <c r="L397" s="1">
        <f t="shared" si="6"/>
        <v>0</v>
      </c>
      <c r="N397" s="6" t="str">
        <f>IF(ISERROR(VLOOKUP($A397,'Plano de Contas'!#REF!,8,FALSE)),"",VLOOKUP($A397,'Plano de Contas'!#REF!,8,FALSE))</f>
        <v/>
      </c>
      <c r="P397" s="6" t="str">
        <f>IF(ISERROR(VLOOKUP($A397,'Plano de Contas'!#REF!,10,FALSE)),"",VLOOKUP($A397,'Plano de Contas'!#REF!,10,FALSE))</f>
        <v/>
      </c>
    </row>
    <row r="398" spans="1:16" x14ac:dyDescent="0.25">
      <c r="A398" t="s">
        <v>672</v>
      </c>
      <c r="B398">
        <v>177</v>
      </c>
      <c r="C398" t="s">
        <v>673</v>
      </c>
      <c r="D398" s="10">
        <v>36684.57</v>
      </c>
      <c r="E398" t="s">
        <v>35</v>
      </c>
      <c r="F398">
        <v>0</v>
      </c>
      <c r="H398">
        <v>0</v>
      </c>
      <c r="J398" s="10">
        <v>36684.57</v>
      </c>
      <c r="K398" t="s">
        <v>35</v>
      </c>
      <c r="L398" s="1">
        <f t="shared" si="6"/>
        <v>-36684.57</v>
      </c>
      <c r="N398" s="6" t="str">
        <f>IF(ISERROR(VLOOKUP($A398,'Plano de Contas'!#REF!,8,FALSE)),"",VLOOKUP($A398,'Plano de Contas'!#REF!,8,FALSE))</f>
        <v/>
      </c>
      <c r="P398" s="6" t="str">
        <f>IF(ISERROR(VLOOKUP($A398,'Plano de Contas'!#REF!,10,FALSE)),"",VLOOKUP($A398,'Plano de Contas'!#REF!,10,FALSE))</f>
        <v/>
      </c>
    </row>
    <row r="399" spans="1:16" x14ac:dyDescent="0.25">
      <c r="A399" t="s">
        <v>674</v>
      </c>
      <c r="B399">
        <v>178</v>
      </c>
      <c r="C399" t="s">
        <v>675</v>
      </c>
      <c r="D399" s="10">
        <v>18298.990000000002</v>
      </c>
      <c r="E399" t="s">
        <v>35</v>
      </c>
      <c r="F399">
        <v>0</v>
      </c>
      <c r="H399">
        <v>0</v>
      </c>
      <c r="J399" s="10">
        <v>18298.990000000002</v>
      </c>
      <c r="K399" t="s">
        <v>35</v>
      </c>
      <c r="L399" s="1">
        <f t="shared" si="6"/>
        <v>-18298.990000000002</v>
      </c>
      <c r="N399" s="6" t="str">
        <f>IF(ISERROR(VLOOKUP($A399,'Plano de Contas'!#REF!,8,FALSE)),"",VLOOKUP($A399,'Plano de Contas'!#REF!,8,FALSE))</f>
        <v/>
      </c>
      <c r="P399" s="6" t="str">
        <f>IF(ISERROR(VLOOKUP($A399,'Plano de Contas'!#REF!,10,FALSE)),"",VLOOKUP($A399,'Plano de Contas'!#REF!,10,FALSE))</f>
        <v/>
      </c>
    </row>
    <row r="400" spans="1:16" x14ac:dyDescent="0.25">
      <c r="A400" t="s">
        <v>676</v>
      </c>
      <c r="B400">
        <v>179</v>
      </c>
      <c r="C400" t="s">
        <v>677</v>
      </c>
      <c r="D400" s="10">
        <v>18385.580000000002</v>
      </c>
      <c r="E400" t="s">
        <v>35</v>
      </c>
      <c r="F400">
        <v>0</v>
      </c>
      <c r="H400">
        <v>0</v>
      </c>
      <c r="J400" s="10">
        <v>18385.580000000002</v>
      </c>
      <c r="K400" t="s">
        <v>35</v>
      </c>
      <c r="L400" s="1">
        <f t="shared" si="6"/>
        <v>-18385.580000000002</v>
      </c>
      <c r="N400" s="6" t="str">
        <f>IF(ISERROR(VLOOKUP($A400,'Plano de Contas'!#REF!,8,FALSE)),"",VLOOKUP($A400,'Plano de Contas'!#REF!,8,FALSE))</f>
        <v/>
      </c>
      <c r="P400" s="6" t="str">
        <f>IF(ISERROR(VLOOKUP($A400,'Plano de Contas'!#REF!,10,FALSE)),"",VLOOKUP($A400,'Plano de Contas'!#REF!,10,FALSE))</f>
        <v/>
      </c>
    </row>
    <row r="401" spans="1:16" x14ac:dyDescent="0.25">
      <c r="L401" s="1">
        <f t="shared" si="6"/>
        <v>0</v>
      </c>
      <c r="N401" s="6" t="str">
        <f>IF(ISERROR(VLOOKUP($A401,'Plano de Contas'!#REF!,8,FALSE)),"",VLOOKUP($A401,'Plano de Contas'!#REF!,8,FALSE))</f>
        <v/>
      </c>
      <c r="P401" s="6" t="str">
        <f>IF(ISERROR(VLOOKUP($A401,'Plano de Contas'!#REF!,10,FALSE)),"",VLOOKUP($A401,'Plano de Contas'!#REF!,10,FALSE))</f>
        <v/>
      </c>
    </row>
    <row r="402" spans="1:16" x14ac:dyDescent="0.25">
      <c r="A402" t="s">
        <v>678</v>
      </c>
      <c r="B402">
        <v>180</v>
      </c>
      <c r="C402" t="s">
        <v>679</v>
      </c>
      <c r="D402" s="10">
        <v>219230368.43000001</v>
      </c>
      <c r="E402" t="s">
        <v>35</v>
      </c>
      <c r="F402">
        <v>0</v>
      </c>
      <c r="H402" s="10">
        <v>46336166.75</v>
      </c>
      <c r="I402" t="s">
        <v>35</v>
      </c>
      <c r="J402" s="10">
        <v>265566535.18000001</v>
      </c>
      <c r="K402" t="s">
        <v>35</v>
      </c>
      <c r="L402" s="1">
        <f t="shared" si="6"/>
        <v>-265566535.18000001</v>
      </c>
      <c r="N402" s="6" t="str">
        <f>IF(ISERROR(VLOOKUP($A402,'Plano de Contas'!#REF!,8,FALSE)),"",VLOOKUP($A402,'Plano de Contas'!#REF!,8,FALSE))</f>
        <v/>
      </c>
      <c r="P402" s="6" t="str">
        <f>IF(ISERROR(VLOOKUP($A402,'Plano de Contas'!#REF!,10,FALSE)),"",VLOOKUP($A402,'Plano de Contas'!#REF!,10,FALSE))</f>
        <v/>
      </c>
    </row>
    <row r="403" spans="1:16" x14ac:dyDescent="0.25">
      <c r="L403" s="1">
        <f t="shared" si="6"/>
        <v>0</v>
      </c>
      <c r="N403" s="6" t="str">
        <f>IF(ISERROR(VLOOKUP($A403,'Plano de Contas'!#REF!,8,FALSE)),"",VLOOKUP($A403,'Plano de Contas'!#REF!,8,FALSE))</f>
        <v/>
      </c>
      <c r="P403" s="6" t="str">
        <f>IF(ISERROR(VLOOKUP($A403,'Plano de Contas'!#REF!,10,FALSE)),"",VLOOKUP($A403,'Plano de Contas'!#REF!,10,FALSE))</f>
        <v/>
      </c>
    </row>
    <row r="404" spans="1:16" x14ac:dyDescent="0.25">
      <c r="A404" t="s">
        <v>680</v>
      </c>
      <c r="B404">
        <v>181</v>
      </c>
      <c r="C404" t="s">
        <v>681</v>
      </c>
      <c r="D404" s="10">
        <v>28800000</v>
      </c>
      <c r="E404" t="s">
        <v>35</v>
      </c>
      <c r="F404">
        <v>0</v>
      </c>
      <c r="H404">
        <v>0</v>
      </c>
      <c r="J404" s="10">
        <v>28800000</v>
      </c>
      <c r="K404" t="s">
        <v>35</v>
      </c>
      <c r="L404" s="1">
        <f t="shared" si="6"/>
        <v>-28800000</v>
      </c>
      <c r="N404" s="6" t="str">
        <f>IF(ISERROR(VLOOKUP($A404,'Plano de Contas'!#REF!,8,FALSE)),"",VLOOKUP($A404,'Plano de Contas'!#REF!,8,FALSE))</f>
        <v/>
      </c>
      <c r="P404" s="6" t="str">
        <f>IF(ISERROR(VLOOKUP($A404,'Plano de Contas'!#REF!,10,FALSE)),"",VLOOKUP($A404,'Plano de Contas'!#REF!,10,FALSE))</f>
        <v/>
      </c>
    </row>
    <row r="405" spans="1:16" x14ac:dyDescent="0.25">
      <c r="A405" t="s">
        <v>682</v>
      </c>
      <c r="B405">
        <v>695</v>
      </c>
      <c r="C405" t="s">
        <v>683</v>
      </c>
      <c r="D405" s="10">
        <v>28800000</v>
      </c>
      <c r="E405" t="s">
        <v>35</v>
      </c>
      <c r="F405">
        <v>0</v>
      </c>
      <c r="H405">
        <v>0</v>
      </c>
      <c r="J405" s="10">
        <v>28800000</v>
      </c>
      <c r="K405" t="s">
        <v>35</v>
      </c>
      <c r="L405" s="1">
        <f t="shared" si="6"/>
        <v>-28800000</v>
      </c>
      <c r="N405" s="6" t="str">
        <f>IF(ISERROR(VLOOKUP($A405,'Plano de Contas'!#REF!,8,FALSE)),"",VLOOKUP($A405,'Plano de Contas'!#REF!,8,FALSE))</f>
        <v/>
      </c>
      <c r="P405" s="6" t="str">
        <f>IF(ISERROR(VLOOKUP($A405,'Plano de Contas'!#REF!,10,FALSE)),"",VLOOKUP($A405,'Plano de Contas'!#REF!,10,FALSE))</f>
        <v/>
      </c>
    </row>
    <row r="406" spans="1:16" x14ac:dyDescent="0.25">
      <c r="L406" s="1">
        <f t="shared" si="6"/>
        <v>0</v>
      </c>
      <c r="N406" s="6" t="str">
        <f>IF(ISERROR(VLOOKUP($A406,'Plano de Contas'!#REF!,8,FALSE)),"",VLOOKUP($A406,'Plano de Contas'!#REF!,8,FALSE))</f>
        <v/>
      </c>
      <c r="P406" s="6" t="str">
        <f>IF(ISERROR(VLOOKUP($A406,'Plano de Contas'!#REF!,10,FALSE)),"",VLOOKUP($A406,'Plano de Contas'!#REF!,10,FALSE))</f>
        <v/>
      </c>
    </row>
    <row r="407" spans="1:16" x14ac:dyDescent="0.25">
      <c r="A407" t="s">
        <v>684</v>
      </c>
      <c r="B407">
        <v>574</v>
      </c>
      <c r="C407" t="s">
        <v>685</v>
      </c>
      <c r="D407" s="10">
        <v>190430368.43000001</v>
      </c>
      <c r="E407" t="s">
        <v>35</v>
      </c>
      <c r="F407">
        <v>0</v>
      </c>
      <c r="H407" s="10">
        <v>46336166.75</v>
      </c>
      <c r="I407" t="s">
        <v>35</v>
      </c>
      <c r="J407" s="10">
        <v>236766535.18000001</v>
      </c>
      <c r="K407" t="s">
        <v>35</v>
      </c>
      <c r="L407" s="1">
        <f t="shared" si="6"/>
        <v>-236766535.18000001</v>
      </c>
      <c r="N407" s="6" t="str">
        <f>IF(ISERROR(VLOOKUP($A407,'Plano de Contas'!#REF!,8,FALSE)),"",VLOOKUP($A407,'Plano de Contas'!#REF!,8,FALSE))</f>
        <v/>
      </c>
      <c r="P407" s="6" t="str">
        <f>IF(ISERROR(VLOOKUP($A407,'Plano de Contas'!#REF!,10,FALSE)),"",VLOOKUP($A407,'Plano de Contas'!#REF!,10,FALSE))</f>
        <v/>
      </c>
    </row>
    <row r="408" spans="1:16" x14ac:dyDescent="0.25">
      <c r="A408" t="s">
        <v>686</v>
      </c>
      <c r="B408">
        <v>575</v>
      </c>
      <c r="C408" t="s">
        <v>687</v>
      </c>
      <c r="D408" s="10">
        <v>190430368.43000001</v>
      </c>
      <c r="E408" t="s">
        <v>35</v>
      </c>
      <c r="F408">
        <v>0</v>
      </c>
      <c r="H408" s="10">
        <v>46336166.75</v>
      </c>
      <c r="I408" t="s">
        <v>35</v>
      </c>
      <c r="J408" s="10">
        <v>236766535.18000001</v>
      </c>
      <c r="K408" t="s">
        <v>35</v>
      </c>
      <c r="L408" s="1">
        <f t="shared" si="6"/>
        <v>-236766535.18000001</v>
      </c>
      <c r="N408" s="6" t="str">
        <f>IF(ISERROR(VLOOKUP($A408,'Plano de Contas'!#REF!,8,FALSE)),"",VLOOKUP($A408,'Plano de Contas'!#REF!,8,FALSE))</f>
        <v/>
      </c>
      <c r="P408" s="6" t="str">
        <f>IF(ISERROR(VLOOKUP($A408,'Plano de Contas'!#REF!,10,FALSE)),"",VLOOKUP($A408,'Plano de Contas'!#REF!,10,FALSE))</f>
        <v/>
      </c>
    </row>
    <row r="409" spans="1:16" x14ac:dyDescent="0.25">
      <c r="L409" s="1">
        <f t="shared" si="6"/>
        <v>0</v>
      </c>
      <c r="N409" s="6" t="str">
        <f>IF(ISERROR(VLOOKUP($A409,'Plano de Contas'!#REF!,8,FALSE)),"",VLOOKUP($A409,'Plano de Contas'!#REF!,8,FALSE))</f>
        <v/>
      </c>
      <c r="P409" s="6" t="str">
        <f>IF(ISERROR(VLOOKUP($A409,'Plano de Contas'!#REF!,10,FALSE)),"",VLOOKUP($A409,'Plano de Contas'!#REF!,10,FALSE))</f>
        <v/>
      </c>
    </row>
    <row r="410" spans="1:16" x14ac:dyDescent="0.25">
      <c r="A410" t="s">
        <v>688</v>
      </c>
      <c r="B410">
        <v>184</v>
      </c>
      <c r="C410" t="s">
        <v>689</v>
      </c>
      <c r="D410" s="10">
        <v>23891127.23</v>
      </c>
      <c r="F410">
        <v>0</v>
      </c>
      <c r="H410">
        <v>0</v>
      </c>
      <c r="J410" s="10">
        <v>23891127.23</v>
      </c>
      <c r="L410" s="1">
        <f t="shared" si="6"/>
        <v>23891127.23</v>
      </c>
      <c r="N410" s="6" t="str">
        <f>IF(ISERROR(VLOOKUP($A410,'Plano de Contas'!#REF!,8,FALSE)),"",VLOOKUP($A410,'Plano de Contas'!#REF!,8,FALSE))</f>
        <v/>
      </c>
      <c r="P410" s="6" t="str">
        <f>IF(ISERROR(VLOOKUP($A410,'Plano de Contas'!#REF!,10,FALSE)),"",VLOOKUP($A410,'Plano de Contas'!#REF!,10,FALSE))</f>
        <v/>
      </c>
    </row>
    <row r="411" spans="1:16" x14ac:dyDescent="0.25">
      <c r="L411" s="1">
        <f t="shared" si="6"/>
        <v>0</v>
      </c>
      <c r="N411" s="6" t="str">
        <f>IF(ISERROR(VLOOKUP($A411,'Plano de Contas'!#REF!,8,FALSE)),"",VLOOKUP($A411,'Plano de Contas'!#REF!,8,FALSE))</f>
        <v/>
      </c>
      <c r="P411" s="6" t="str">
        <f>IF(ISERROR(VLOOKUP($A411,'Plano de Contas'!#REF!,10,FALSE)),"",VLOOKUP($A411,'Plano de Contas'!#REF!,10,FALSE))</f>
        <v/>
      </c>
    </row>
    <row r="412" spans="1:16" x14ac:dyDescent="0.25">
      <c r="A412" t="s">
        <v>690</v>
      </c>
      <c r="B412">
        <v>185</v>
      </c>
      <c r="C412" t="s">
        <v>691</v>
      </c>
      <c r="D412" s="10">
        <v>23891127.23</v>
      </c>
      <c r="F412">
        <v>0</v>
      </c>
      <c r="H412">
        <v>0</v>
      </c>
      <c r="J412" s="10">
        <v>23891127.23</v>
      </c>
      <c r="L412" s="1">
        <f t="shared" si="6"/>
        <v>23891127.23</v>
      </c>
      <c r="N412" s="6" t="str">
        <f>IF(ISERROR(VLOOKUP($A412,'Plano de Contas'!#REF!,8,FALSE)),"",VLOOKUP($A412,'Plano de Contas'!#REF!,8,FALSE))</f>
        <v/>
      </c>
      <c r="P412" s="6" t="str">
        <f>IF(ISERROR(VLOOKUP($A412,'Plano de Contas'!#REF!,10,FALSE)),"",VLOOKUP($A412,'Plano de Contas'!#REF!,10,FALSE))</f>
        <v/>
      </c>
    </row>
    <row r="413" spans="1:16" x14ac:dyDescent="0.25">
      <c r="A413" t="s">
        <v>692</v>
      </c>
      <c r="B413">
        <v>186</v>
      </c>
      <c r="C413" t="s">
        <v>693</v>
      </c>
      <c r="D413" s="10">
        <v>26954984.98</v>
      </c>
      <c r="F413">
        <v>0</v>
      </c>
      <c r="H413">
        <v>0</v>
      </c>
      <c r="J413" s="10">
        <v>26954984.98</v>
      </c>
      <c r="L413" s="1">
        <f t="shared" si="6"/>
        <v>26954984.98</v>
      </c>
      <c r="N413" s="6" t="str">
        <f>IF(ISERROR(VLOOKUP($A413,'Plano de Contas'!#REF!,8,FALSE)),"",VLOOKUP($A413,'Plano de Contas'!#REF!,8,FALSE))</f>
        <v/>
      </c>
      <c r="P413" s="6" t="str">
        <f>IF(ISERROR(VLOOKUP($A413,'Plano de Contas'!#REF!,10,FALSE)),"",VLOOKUP($A413,'Plano de Contas'!#REF!,10,FALSE))</f>
        <v/>
      </c>
    </row>
    <row r="414" spans="1:16" x14ac:dyDescent="0.25">
      <c r="A414" t="s">
        <v>694</v>
      </c>
      <c r="B414">
        <v>187</v>
      </c>
      <c r="C414" t="s">
        <v>695</v>
      </c>
      <c r="D414" s="10">
        <v>8675838.0299999993</v>
      </c>
      <c r="F414">
        <v>0</v>
      </c>
      <c r="H414">
        <v>0</v>
      </c>
      <c r="J414" s="10">
        <v>8675838.0299999993</v>
      </c>
      <c r="L414" s="1">
        <f t="shared" si="6"/>
        <v>8675838.0299999993</v>
      </c>
      <c r="N414" s="6" t="str">
        <f>IF(ISERROR(VLOOKUP($A414,'Plano de Contas'!#REF!,8,FALSE)),"",VLOOKUP($A414,'Plano de Contas'!#REF!,8,FALSE))</f>
        <v/>
      </c>
      <c r="P414" s="6" t="str">
        <f>IF(ISERROR(VLOOKUP($A414,'Plano de Contas'!#REF!,10,FALSE)),"",VLOOKUP($A414,'Plano de Contas'!#REF!,10,FALSE))</f>
        <v/>
      </c>
    </row>
    <row r="415" spans="1:16" x14ac:dyDescent="0.25">
      <c r="A415" t="s">
        <v>696</v>
      </c>
      <c r="B415">
        <v>188</v>
      </c>
      <c r="C415" t="s">
        <v>697</v>
      </c>
      <c r="D415" s="10">
        <v>2141957.19</v>
      </c>
      <c r="F415">
        <v>0</v>
      </c>
      <c r="H415">
        <v>0</v>
      </c>
      <c r="J415" s="10">
        <v>2141957.19</v>
      </c>
      <c r="L415" s="1">
        <f t="shared" si="6"/>
        <v>2141957.19</v>
      </c>
      <c r="N415" s="6" t="str">
        <f>IF(ISERROR(VLOOKUP($A415,'Plano de Contas'!#REF!,8,FALSE)),"",VLOOKUP($A415,'Plano de Contas'!#REF!,8,FALSE))</f>
        <v/>
      </c>
      <c r="P415" s="6" t="str">
        <f>IF(ISERROR(VLOOKUP($A415,'Plano de Contas'!#REF!,10,FALSE)),"",VLOOKUP($A415,'Plano de Contas'!#REF!,10,FALSE))</f>
        <v/>
      </c>
    </row>
    <row r="416" spans="1:16" x14ac:dyDescent="0.25">
      <c r="A416" t="s">
        <v>698</v>
      </c>
      <c r="B416">
        <v>189</v>
      </c>
      <c r="C416" t="s">
        <v>699</v>
      </c>
      <c r="D416" s="10">
        <v>-124185.7</v>
      </c>
      <c r="F416">
        <v>0</v>
      </c>
      <c r="H416">
        <v>0</v>
      </c>
      <c r="J416" s="10">
        <v>-124185.7</v>
      </c>
      <c r="L416" s="1">
        <f t="shared" si="6"/>
        <v>-124185.7</v>
      </c>
      <c r="N416" s="6" t="str">
        <f>IF(ISERROR(VLOOKUP($A416,'Plano de Contas'!#REF!,8,FALSE)),"",VLOOKUP($A416,'Plano de Contas'!#REF!,8,FALSE))</f>
        <v/>
      </c>
      <c r="P416" s="6" t="str">
        <f>IF(ISERROR(VLOOKUP($A416,'Plano de Contas'!#REF!,10,FALSE)),"",VLOOKUP($A416,'Plano de Contas'!#REF!,10,FALSE))</f>
        <v/>
      </c>
    </row>
    <row r="417" spans="1:16" x14ac:dyDescent="0.25">
      <c r="A417" t="s">
        <v>700</v>
      </c>
      <c r="B417">
        <v>190</v>
      </c>
      <c r="C417" t="s">
        <v>701</v>
      </c>
      <c r="D417" s="10">
        <v>838752.19</v>
      </c>
      <c r="F417">
        <v>0</v>
      </c>
      <c r="H417">
        <v>0</v>
      </c>
      <c r="J417" s="10">
        <v>838752.19</v>
      </c>
      <c r="L417" s="1">
        <f t="shared" si="6"/>
        <v>838752.19</v>
      </c>
      <c r="N417" s="6" t="str">
        <f>IF(ISERROR(VLOOKUP($A417,'Plano de Contas'!#REF!,8,FALSE)),"",VLOOKUP($A417,'Plano de Contas'!#REF!,8,FALSE))</f>
        <v/>
      </c>
      <c r="P417" s="6" t="str">
        <f>IF(ISERROR(VLOOKUP($A417,'Plano de Contas'!#REF!,10,FALSE)),"",VLOOKUP($A417,'Plano de Contas'!#REF!,10,FALSE))</f>
        <v/>
      </c>
    </row>
    <row r="418" spans="1:16" x14ac:dyDescent="0.25">
      <c r="A418" t="s">
        <v>702</v>
      </c>
      <c r="B418">
        <v>191</v>
      </c>
      <c r="C418" t="s">
        <v>703</v>
      </c>
      <c r="D418" s="10">
        <v>458264.12</v>
      </c>
      <c r="E418" t="s">
        <v>35</v>
      </c>
      <c r="F418">
        <v>0</v>
      </c>
      <c r="H418">
        <v>0</v>
      </c>
      <c r="J418" s="10">
        <v>458264.12</v>
      </c>
      <c r="K418" t="s">
        <v>35</v>
      </c>
      <c r="L418" s="1">
        <f t="shared" si="6"/>
        <v>-458264.12</v>
      </c>
      <c r="N418" s="6" t="str">
        <f>IF(ISERROR(VLOOKUP($A418,'Plano de Contas'!#REF!,8,FALSE)),"",VLOOKUP($A418,'Plano de Contas'!#REF!,8,FALSE))</f>
        <v/>
      </c>
      <c r="P418" s="6" t="str">
        <f>IF(ISERROR(VLOOKUP($A418,'Plano de Contas'!#REF!,10,FALSE)),"",VLOOKUP($A418,'Plano de Contas'!#REF!,10,FALSE))</f>
        <v/>
      </c>
    </row>
    <row r="419" spans="1:16" x14ac:dyDescent="0.25">
      <c r="A419" t="s">
        <v>704</v>
      </c>
      <c r="B419">
        <v>192</v>
      </c>
      <c r="C419" t="s">
        <v>705</v>
      </c>
      <c r="D419" s="10">
        <v>174603.05</v>
      </c>
      <c r="E419" t="s">
        <v>35</v>
      </c>
      <c r="F419">
        <v>0</v>
      </c>
      <c r="H419">
        <v>0</v>
      </c>
      <c r="J419" s="10">
        <v>174603.05</v>
      </c>
      <c r="K419" t="s">
        <v>35</v>
      </c>
      <c r="L419" s="1">
        <f t="shared" si="6"/>
        <v>-174603.05</v>
      </c>
      <c r="N419" s="6" t="str">
        <f>IF(ISERROR(VLOOKUP($A419,'Plano de Contas'!#REF!,8,FALSE)),"",VLOOKUP($A419,'Plano de Contas'!#REF!,8,FALSE))</f>
        <v/>
      </c>
      <c r="P419" s="6" t="str">
        <f>IF(ISERROR(VLOOKUP($A419,'Plano de Contas'!#REF!,10,FALSE)),"",VLOOKUP($A419,'Plano de Contas'!#REF!,10,FALSE))</f>
        <v/>
      </c>
    </row>
    <row r="420" spans="1:16" x14ac:dyDescent="0.25">
      <c r="A420" t="s">
        <v>706</v>
      </c>
      <c r="B420">
        <v>193</v>
      </c>
      <c r="C420" t="s">
        <v>707</v>
      </c>
      <c r="D420" s="10">
        <v>2891094.37</v>
      </c>
      <c r="E420" t="s">
        <v>35</v>
      </c>
      <c r="F420">
        <v>0</v>
      </c>
      <c r="H420">
        <v>0</v>
      </c>
      <c r="J420" s="10">
        <v>2891094.37</v>
      </c>
      <c r="K420" t="s">
        <v>35</v>
      </c>
      <c r="L420" s="1">
        <f t="shared" si="6"/>
        <v>-2891094.37</v>
      </c>
      <c r="N420" s="6" t="str">
        <f>IF(ISERROR(VLOOKUP($A420,'Plano de Contas'!#REF!,8,FALSE)),"",VLOOKUP($A420,'Plano de Contas'!#REF!,8,FALSE))</f>
        <v/>
      </c>
      <c r="P420" s="6" t="str">
        <f>IF(ISERROR(VLOOKUP($A420,'Plano de Contas'!#REF!,10,FALSE)),"",VLOOKUP($A420,'Plano de Contas'!#REF!,10,FALSE))</f>
        <v/>
      </c>
    </row>
    <row r="421" spans="1:16" x14ac:dyDescent="0.25">
      <c r="A421" t="s">
        <v>708</v>
      </c>
      <c r="B421">
        <v>194</v>
      </c>
      <c r="C421" t="s">
        <v>709</v>
      </c>
      <c r="D421" s="10">
        <v>2541359.94</v>
      </c>
      <c r="E421" t="s">
        <v>35</v>
      </c>
      <c r="F421">
        <v>0</v>
      </c>
      <c r="H421">
        <v>0</v>
      </c>
      <c r="J421" s="10">
        <v>2541359.94</v>
      </c>
      <c r="K421" t="s">
        <v>35</v>
      </c>
      <c r="L421" s="1">
        <f t="shared" si="6"/>
        <v>-2541359.94</v>
      </c>
      <c r="N421" s="6" t="str">
        <f>IF(ISERROR(VLOOKUP($A421,'Plano de Contas'!#REF!,8,FALSE)),"",VLOOKUP($A421,'Plano de Contas'!#REF!,8,FALSE))</f>
        <v/>
      </c>
      <c r="P421" s="6" t="str">
        <f>IF(ISERROR(VLOOKUP($A421,'Plano de Contas'!#REF!,10,FALSE)),"",VLOOKUP($A421,'Plano de Contas'!#REF!,10,FALSE))</f>
        <v/>
      </c>
    </row>
    <row r="422" spans="1:16" x14ac:dyDescent="0.25">
      <c r="A422" t="s">
        <v>710</v>
      </c>
      <c r="B422">
        <v>434</v>
      </c>
      <c r="C422" t="s">
        <v>711</v>
      </c>
      <c r="D422" s="10">
        <v>1894837.76</v>
      </c>
      <c r="F422">
        <v>0</v>
      </c>
      <c r="H422">
        <v>0</v>
      </c>
      <c r="J422" s="10">
        <v>1894837.76</v>
      </c>
      <c r="L422" s="1">
        <f t="shared" si="6"/>
        <v>1894837.76</v>
      </c>
      <c r="N422" s="6" t="str">
        <f>IF(ISERROR(VLOOKUP($A422,'Plano de Contas'!#REF!,8,FALSE)),"",VLOOKUP($A422,'Plano de Contas'!#REF!,8,FALSE))</f>
        <v/>
      </c>
      <c r="P422" s="6" t="str">
        <f>IF(ISERROR(VLOOKUP($A422,'Plano de Contas'!#REF!,10,FALSE)),"",VLOOKUP($A422,'Plano de Contas'!#REF!,10,FALSE))</f>
        <v/>
      </c>
    </row>
    <row r="423" spans="1:16" x14ac:dyDescent="0.25">
      <c r="A423" t="s">
        <v>712</v>
      </c>
      <c r="B423">
        <v>435</v>
      </c>
      <c r="C423" t="s">
        <v>713</v>
      </c>
      <c r="D423" s="10">
        <v>938820.84</v>
      </c>
      <c r="F423">
        <v>0</v>
      </c>
      <c r="H423">
        <v>0</v>
      </c>
      <c r="J423" s="10">
        <v>938820.84</v>
      </c>
      <c r="L423" s="1">
        <f t="shared" si="6"/>
        <v>938820.84</v>
      </c>
      <c r="N423" s="6" t="str">
        <f>IF(ISERROR(VLOOKUP($A423,'Plano de Contas'!#REF!,8,FALSE)),"",VLOOKUP($A423,'Plano de Contas'!#REF!,8,FALSE))</f>
        <v/>
      </c>
      <c r="P423" s="6" t="str">
        <f>IF(ISERROR(VLOOKUP($A423,'Plano de Contas'!#REF!,10,FALSE)),"",VLOOKUP($A423,'Plano de Contas'!#REF!,10,FALSE))</f>
        <v/>
      </c>
    </row>
    <row r="424" spans="1:16" x14ac:dyDescent="0.25">
      <c r="A424" t="s">
        <v>714</v>
      </c>
      <c r="B424">
        <v>482</v>
      </c>
      <c r="C424" t="s">
        <v>715</v>
      </c>
      <c r="D424" s="10">
        <v>8123088.2400000002</v>
      </c>
      <c r="F424">
        <v>0</v>
      </c>
      <c r="H424">
        <v>0</v>
      </c>
      <c r="J424" s="10">
        <v>8123088.2400000002</v>
      </c>
      <c r="L424" s="1">
        <f t="shared" si="6"/>
        <v>8123088.2400000002</v>
      </c>
      <c r="N424" s="6" t="str">
        <f>IF(ISERROR(VLOOKUP($A424,'Plano de Contas'!#REF!,8,FALSE)),"",VLOOKUP($A424,'Plano de Contas'!#REF!,8,FALSE))</f>
        <v/>
      </c>
      <c r="P424" s="6" t="str">
        <f>IF(ISERROR(VLOOKUP($A424,'Plano de Contas'!#REF!,10,FALSE)),"",VLOOKUP($A424,'Plano de Contas'!#REF!,10,FALSE))</f>
        <v/>
      </c>
    </row>
    <row r="425" spans="1:16" x14ac:dyDescent="0.25">
      <c r="A425" t="s">
        <v>716</v>
      </c>
      <c r="B425">
        <v>516</v>
      </c>
      <c r="C425" t="s">
        <v>717</v>
      </c>
      <c r="D425" s="10">
        <v>350983.15</v>
      </c>
      <c r="F425">
        <v>0</v>
      </c>
      <c r="H425">
        <v>0</v>
      </c>
      <c r="J425" s="10">
        <v>350983.15</v>
      </c>
      <c r="L425" s="1">
        <f t="shared" si="6"/>
        <v>350983.15</v>
      </c>
      <c r="N425" s="6" t="str">
        <f>IF(ISERROR(VLOOKUP($A425,'Plano de Contas'!#REF!,8,FALSE)),"",VLOOKUP($A425,'Plano de Contas'!#REF!,8,FALSE))</f>
        <v/>
      </c>
      <c r="P425" s="6" t="str">
        <f>IF(ISERROR(VLOOKUP($A425,'Plano de Contas'!#REF!,10,FALSE)),"",VLOOKUP($A425,'Plano de Contas'!#REF!,10,FALSE))</f>
        <v/>
      </c>
    </row>
    <row r="426" spans="1:16" x14ac:dyDescent="0.25">
      <c r="A426" t="s">
        <v>718</v>
      </c>
      <c r="B426">
        <v>530</v>
      </c>
      <c r="C426" t="s">
        <v>719</v>
      </c>
      <c r="D426" s="10">
        <v>15746.32</v>
      </c>
      <c r="F426">
        <v>0</v>
      </c>
      <c r="H426">
        <v>0</v>
      </c>
      <c r="J426" s="10">
        <v>15746.32</v>
      </c>
      <c r="L426" s="1">
        <f t="shared" si="6"/>
        <v>15746.32</v>
      </c>
      <c r="N426" s="6" t="str">
        <f>IF(ISERROR(VLOOKUP($A426,'Plano de Contas'!#REF!,8,FALSE)),"",VLOOKUP($A426,'Plano de Contas'!#REF!,8,FALSE))</f>
        <v/>
      </c>
      <c r="P426" s="6" t="str">
        <f>IF(ISERROR(VLOOKUP($A426,'Plano de Contas'!#REF!,10,FALSE)),"",VLOOKUP($A426,'Plano de Contas'!#REF!,10,FALSE))</f>
        <v/>
      </c>
    </row>
    <row r="427" spans="1:16" x14ac:dyDescent="0.25">
      <c r="A427" t="s">
        <v>720</v>
      </c>
      <c r="B427">
        <v>536</v>
      </c>
      <c r="C427" t="s">
        <v>721</v>
      </c>
      <c r="D427" s="10">
        <v>3372654.07</v>
      </c>
      <c r="F427">
        <v>0</v>
      </c>
      <c r="H427">
        <v>0</v>
      </c>
      <c r="J427" s="10">
        <v>3372654.07</v>
      </c>
      <c r="L427" s="1">
        <f t="shared" si="6"/>
        <v>3372654.07</v>
      </c>
      <c r="N427" s="6" t="str">
        <f>IF(ISERROR(VLOOKUP($A427,'Plano de Contas'!#REF!,8,FALSE)),"",VLOOKUP($A427,'Plano de Contas'!#REF!,8,FALSE))</f>
        <v/>
      </c>
      <c r="P427" s="6" t="str">
        <f>IF(ISERROR(VLOOKUP($A427,'Plano de Contas'!#REF!,10,FALSE)),"",VLOOKUP($A427,'Plano de Contas'!#REF!,10,FALSE))</f>
        <v/>
      </c>
    </row>
    <row r="428" spans="1:16" x14ac:dyDescent="0.25">
      <c r="A428" t="s">
        <v>722</v>
      </c>
      <c r="B428">
        <v>580</v>
      </c>
      <c r="C428" t="s">
        <v>723</v>
      </c>
      <c r="D428" s="10">
        <v>2201168.39</v>
      </c>
      <c r="E428" t="s">
        <v>35</v>
      </c>
      <c r="F428">
        <v>0</v>
      </c>
      <c r="H428">
        <v>0</v>
      </c>
      <c r="J428" s="10">
        <v>2201168.39</v>
      </c>
      <c r="K428" t="s">
        <v>35</v>
      </c>
      <c r="L428" s="1">
        <f t="shared" si="6"/>
        <v>-2201168.39</v>
      </c>
      <c r="N428" s="6" t="str">
        <f>IF(ISERROR(VLOOKUP($A428,'Plano de Contas'!#REF!,8,FALSE)),"",VLOOKUP($A428,'Plano de Contas'!#REF!,8,FALSE))</f>
        <v/>
      </c>
      <c r="P428" s="6" t="str">
        <f>IF(ISERROR(VLOOKUP($A428,'Plano de Contas'!#REF!,10,FALSE)),"",VLOOKUP($A428,'Plano de Contas'!#REF!,10,FALSE))</f>
        <v/>
      </c>
    </row>
    <row r="429" spans="1:16" x14ac:dyDescent="0.25">
      <c r="A429" t="s">
        <v>724</v>
      </c>
      <c r="B429">
        <v>626</v>
      </c>
      <c r="C429" t="s">
        <v>725</v>
      </c>
      <c r="D429" s="10">
        <v>557955.16</v>
      </c>
      <c r="F429">
        <v>0</v>
      </c>
      <c r="H429">
        <v>0</v>
      </c>
      <c r="J429" s="10">
        <v>557955.16</v>
      </c>
      <c r="L429" s="1">
        <f t="shared" si="6"/>
        <v>557955.16</v>
      </c>
      <c r="N429" s="6" t="str">
        <f>IF(ISERROR(VLOOKUP($A429,'Plano de Contas'!#REF!,8,FALSE)),"",VLOOKUP($A429,'Plano de Contas'!#REF!,8,FALSE))</f>
        <v/>
      </c>
      <c r="P429" s="6" t="str">
        <f>IF(ISERROR(VLOOKUP($A429,'Plano de Contas'!#REF!,10,FALSE)),"",VLOOKUP($A429,'Plano de Contas'!#REF!,10,FALSE))</f>
        <v/>
      </c>
    </row>
    <row r="430" spans="1:16" x14ac:dyDescent="0.25">
      <c r="A430" t="s">
        <v>726</v>
      </c>
      <c r="B430">
        <v>664</v>
      </c>
      <c r="C430" t="s">
        <v>727</v>
      </c>
      <c r="D430" s="10">
        <v>1363657.14</v>
      </c>
      <c r="E430" t="s">
        <v>35</v>
      </c>
      <c r="F430">
        <v>0</v>
      </c>
      <c r="H430">
        <v>0</v>
      </c>
      <c r="J430" s="10">
        <v>1363657.14</v>
      </c>
      <c r="K430" t="s">
        <v>35</v>
      </c>
      <c r="L430" s="1">
        <f t="shared" si="6"/>
        <v>-1363657.14</v>
      </c>
      <c r="N430" s="6" t="str">
        <f>IF(ISERROR(VLOOKUP($A430,'Plano de Contas'!#REF!,8,FALSE)),"",VLOOKUP($A430,'Plano de Contas'!#REF!,8,FALSE))</f>
        <v/>
      </c>
      <c r="P430" s="6" t="str">
        <f>IF(ISERROR(VLOOKUP($A430,'Plano de Contas'!#REF!,10,FALSE)),"",VLOOKUP($A430,'Plano de Contas'!#REF!,10,FALSE))</f>
        <v/>
      </c>
    </row>
    <row r="431" spans="1:16" x14ac:dyDescent="0.25">
      <c r="A431" t="s">
        <v>728</v>
      </c>
      <c r="B431">
        <v>714</v>
      </c>
      <c r="C431" t="s">
        <v>729</v>
      </c>
      <c r="D431" s="10">
        <v>876196.77</v>
      </c>
      <c r="F431">
        <v>0</v>
      </c>
      <c r="H431">
        <v>0</v>
      </c>
      <c r="J431" s="10">
        <v>876196.77</v>
      </c>
      <c r="L431" s="1">
        <f t="shared" si="6"/>
        <v>876196.77</v>
      </c>
      <c r="N431" s="6" t="str">
        <f>IF(ISERROR(VLOOKUP($A431,'Plano de Contas'!#REF!,8,FALSE)),"",VLOOKUP($A431,'Plano de Contas'!#REF!,8,FALSE))</f>
        <v/>
      </c>
      <c r="P431" s="6" t="str">
        <f>IF(ISERROR(VLOOKUP($A431,'Plano de Contas'!#REF!,10,FALSE)),"",VLOOKUP($A431,'Plano de Contas'!#REF!,10,FALSE))</f>
        <v/>
      </c>
    </row>
    <row r="432" spans="1:16" x14ac:dyDescent="0.25">
      <c r="A432" t="s">
        <v>730</v>
      </c>
      <c r="B432">
        <v>911</v>
      </c>
      <c r="C432" t="s">
        <v>731</v>
      </c>
      <c r="D432" s="10">
        <v>18117157.899999999</v>
      </c>
      <c r="E432" t="s">
        <v>35</v>
      </c>
      <c r="F432">
        <v>0</v>
      </c>
      <c r="H432">
        <v>0</v>
      </c>
      <c r="J432" s="10">
        <v>18117157.899999999</v>
      </c>
      <c r="K432" t="s">
        <v>35</v>
      </c>
      <c r="L432" s="1">
        <f t="shared" si="6"/>
        <v>-18117157.899999999</v>
      </c>
      <c r="N432" s="6" t="str">
        <f>IF(ISERROR(VLOOKUP($A432,'Plano de Contas'!#REF!,8,FALSE)),"",VLOOKUP($A432,'Plano de Contas'!#REF!,8,FALSE))</f>
        <v/>
      </c>
      <c r="P432" s="6" t="str">
        <f>IF(ISERROR(VLOOKUP($A432,'Plano de Contas'!#REF!,10,FALSE)),"",VLOOKUP($A432,'Plano de Contas'!#REF!,10,FALSE))</f>
        <v/>
      </c>
    </row>
    <row r="433" spans="1:16" x14ac:dyDescent="0.25">
      <c r="A433" t="s">
        <v>732</v>
      </c>
      <c r="B433">
        <v>930</v>
      </c>
      <c r="C433" t="s">
        <v>733</v>
      </c>
      <c r="D433" s="10">
        <v>2979196.86</v>
      </c>
      <c r="E433" t="s">
        <v>35</v>
      </c>
      <c r="F433">
        <v>0</v>
      </c>
      <c r="H433">
        <v>0</v>
      </c>
      <c r="J433" s="10">
        <v>2979196.86</v>
      </c>
      <c r="K433" t="s">
        <v>35</v>
      </c>
      <c r="L433" s="1">
        <f t="shared" si="6"/>
        <v>-2979196.86</v>
      </c>
      <c r="N433" s="6" t="str">
        <f>IF(ISERROR(VLOOKUP($A433,'Plano de Contas'!#REF!,8,FALSE)),"",VLOOKUP($A433,'Plano de Contas'!#REF!,8,FALSE))</f>
        <v/>
      </c>
      <c r="P433" s="6" t="str">
        <f>IF(ISERROR(VLOOKUP($A433,'Plano de Contas'!#REF!,10,FALSE)),"",VLOOKUP($A433,'Plano de Contas'!#REF!,10,FALSE))</f>
        <v/>
      </c>
    </row>
    <row r="434" spans="1:16" x14ac:dyDescent="0.25">
      <c r="L434" s="1">
        <f t="shared" si="6"/>
        <v>0</v>
      </c>
      <c r="N434" s="6" t="str">
        <f>IF(ISERROR(VLOOKUP($A434,'Plano de Contas'!#REF!,8,FALSE)),"",VLOOKUP($A434,'Plano de Contas'!#REF!,8,FALSE))</f>
        <v/>
      </c>
      <c r="P434" s="6" t="str">
        <f>IF(ISERROR(VLOOKUP($A434,'Plano de Contas'!#REF!,10,FALSE)),"",VLOOKUP($A434,'Plano de Contas'!#REF!,10,FALSE))</f>
        <v/>
      </c>
    </row>
    <row r="435" spans="1:16" x14ac:dyDescent="0.25">
      <c r="A435">
        <v>3</v>
      </c>
      <c r="B435">
        <v>195</v>
      </c>
      <c r="C435" t="s">
        <v>734</v>
      </c>
      <c r="D435" s="10">
        <v>4894044.3899999997</v>
      </c>
      <c r="E435" t="s">
        <v>35</v>
      </c>
      <c r="F435" s="10">
        <v>9680813.3100000005</v>
      </c>
      <c r="H435" s="10">
        <v>18526261.09</v>
      </c>
      <c r="I435" t="s">
        <v>35</v>
      </c>
      <c r="J435" s="10">
        <v>13739492.17</v>
      </c>
      <c r="K435" t="s">
        <v>35</v>
      </c>
      <c r="L435" s="1">
        <f t="shared" si="6"/>
        <v>-13739492.17</v>
      </c>
      <c r="N435" s="6" t="str">
        <f>IF(ISERROR(VLOOKUP($A435,'Plano de Contas'!#REF!,8,FALSE)),"",VLOOKUP($A435,'Plano de Contas'!#REF!,8,FALSE))</f>
        <v/>
      </c>
      <c r="P435" s="6" t="str">
        <f>IF(ISERROR(VLOOKUP($A435,'Plano de Contas'!#REF!,10,FALSE)),"",VLOOKUP($A435,'Plano de Contas'!#REF!,10,FALSE))</f>
        <v/>
      </c>
    </row>
    <row r="436" spans="1:16" x14ac:dyDescent="0.25">
      <c r="L436" s="1">
        <f t="shared" si="6"/>
        <v>0</v>
      </c>
      <c r="N436" s="6" t="str">
        <f>IF(ISERROR(VLOOKUP($A436,'Plano de Contas'!#REF!,8,FALSE)),"",VLOOKUP($A436,'Plano de Contas'!#REF!,8,FALSE))</f>
        <v/>
      </c>
      <c r="P436" s="6" t="str">
        <f>IF(ISERROR(VLOOKUP($A436,'Plano de Contas'!#REF!,10,FALSE)),"",VLOOKUP($A436,'Plano de Contas'!#REF!,10,FALSE))</f>
        <v/>
      </c>
    </row>
    <row r="437" spans="1:16" x14ac:dyDescent="0.25">
      <c r="A437" t="s">
        <v>735</v>
      </c>
      <c r="B437">
        <v>196</v>
      </c>
      <c r="C437" t="s">
        <v>736</v>
      </c>
      <c r="D437" s="10">
        <v>2419379.25</v>
      </c>
      <c r="E437" t="s">
        <v>35</v>
      </c>
      <c r="F437" s="10">
        <v>9401637.6300000008</v>
      </c>
      <c r="H437" s="10">
        <v>18006137.199999999</v>
      </c>
      <c r="I437" t="s">
        <v>35</v>
      </c>
      <c r="J437" s="10">
        <v>11023878.82</v>
      </c>
      <c r="K437" t="s">
        <v>35</v>
      </c>
      <c r="L437" s="1">
        <f t="shared" si="6"/>
        <v>-11023878.82</v>
      </c>
      <c r="N437" s="6" t="str">
        <f>IF(ISERROR(VLOOKUP($A437,'Plano de Contas'!#REF!,8,FALSE)),"",VLOOKUP($A437,'Plano de Contas'!#REF!,8,FALSE))</f>
        <v/>
      </c>
      <c r="P437" s="6" t="str">
        <f>IF(ISERROR(VLOOKUP($A437,'Plano de Contas'!#REF!,10,FALSE)),"",VLOOKUP($A437,'Plano de Contas'!#REF!,10,FALSE))</f>
        <v/>
      </c>
    </row>
    <row r="438" spans="1:16" x14ac:dyDescent="0.25">
      <c r="L438" s="1">
        <f t="shared" si="6"/>
        <v>0</v>
      </c>
      <c r="N438" s="6" t="str">
        <f>IF(ISERROR(VLOOKUP($A438,'Plano de Contas'!#REF!,8,FALSE)),"",VLOOKUP($A438,'Plano de Contas'!#REF!,8,FALSE))</f>
        <v/>
      </c>
      <c r="P438" s="6" t="str">
        <f>IF(ISERROR(VLOOKUP($A438,'Plano de Contas'!#REF!,10,FALSE)),"",VLOOKUP($A438,'Plano de Contas'!#REF!,10,FALSE))</f>
        <v/>
      </c>
    </row>
    <row r="439" spans="1:16" x14ac:dyDescent="0.25">
      <c r="A439" t="s">
        <v>737</v>
      </c>
      <c r="B439">
        <v>197</v>
      </c>
      <c r="C439" t="s">
        <v>738</v>
      </c>
      <c r="D439" s="10">
        <v>71615488.689999998</v>
      </c>
      <c r="E439" t="s">
        <v>35</v>
      </c>
      <c r="F439" s="10">
        <v>990523.88</v>
      </c>
      <c r="H439" s="10">
        <v>8826580.2300000004</v>
      </c>
      <c r="I439" t="s">
        <v>35</v>
      </c>
      <c r="J439" s="10">
        <v>79451545.040000007</v>
      </c>
      <c r="K439" t="s">
        <v>35</v>
      </c>
      <c r="L439" s="1">
        <f t="shared" si="6"/>
        <v>-79451545.040000007</v>
      </c>
      <c r="N439" s="6" t="str">
        <f>IF(ISERROR(VLOOKUP($A439,'Plano de Contas'!#REF!,8,FALSE)),"",VLOOKUP($A439,'Plano de Contas'!#REF!,8,FALSE))</f>
        <v/>
      </c>
      <c r="P439" s="6" t="str">
        <f>IF(ISERROR(VLOOKUP($A439,'Plano de Contas'!#REF!,10,FALSE)),"",VLOOKUP($A439,'Plano de Contas'!#REF!,10,FALSE))</f>
        <v/>
      </c>
    </row>
    <row r="440" spans="1:16" x14ac:dyDescent="0.25">
      <c r="L440" s="1">
        <f t="shared" si="6"/>
        <v>0</v>
      </c>
      <c r="N440" s="6" t="str">
        <f>IF(ISERROR(VLOOKUP($A440,'Plano de Contas'!#REF!,8,FALSE)),"",VLOOKUP($A440,'Plano de Contas'!#REF!,8,FALSE))</f>
        <v/>
      </c>
      <c r="P440" s="6" t="str">
        <f>IF(ISERROR(VLOOKUP($A440,'Plano de Contas'!#REF!,10,FALSE)),"",VLOOKUP($A440,'Plano de Contas'!#REF!,10,FALSE))</f>
        <v/>
      </c>
    </row>
    <row r="441" spans="1:16" x14ac:dyDescent="0.25">
      <c r="A441" t="s">
        <v>739</v>
      </c>
      <c r="B441">
        <v>198</v>
      </c>
      <c r="C441" t="s">
        <v>740</v>
      </c>
      <c r="D441" s="10">
        <v>80775830.900000006</v>
      </c>
      <c r="E441" t="s">
        <v>35</v>
      </c>
      <c r="F441">
        <v>677.99</v>
      </c>
      <c r="H441" s="10">
        <v>8808774.4900000002</v>
      </c>
      <c r="I441" t="s">
        <v>35</v>
      </c>
      <c r="J441" s="10">
        <v>89583927.400000006</v>
      </c>
      <c r="K441" t="s">
        <v>35</v>
      </c>
      <c r="L441" s="1">
        <f t="shared" si="6"/>
        <v>-89583927.400000006</v>
      </c>
      <c r="N441" s="6" t="str">
        <f>IF(ISERROR(VLOOKUP($A441,'Plano de Contas'!#REF!,8,FALSE)),"",VLOOKUP($A441,'Plano de Contas'!#REF!,8,FALSE))</f>
        <v/>
      </c>
      <c r="P441" s="6" t="str">
        <f>IF(ISERROR(VLOOKUP($A441,'Plano de Contas'!#REF!,10,FALSE)),"",VLOOKUP($A441,'Plano de Contas'!#REF!,10,FALSE))</f>
        <v/>
      </c>
    </row>
    <row r="442" spans="1:16" x14ac:dyDescent="0.25">
      <c r="A442" t="s">
        <v>741</v>
      </c>
      <c r="B442">
        <v>199</v>
      </c>
      <c r="C442" t="s">
        <v>742</v>
      </c>
      <c r="D442" s="10">
        <v>-19528293.699999999</v>
      </c>
      <c r="F442">
        <v>677.99</v>
      </c>
      <c r="H442" s="10">
        <v>-2208805.48</v>
      </c>
      <c r="J442" s="10">
        <v>-21736421.190000001</v>
      </c>
      <c r="L442" s="1">
        <f t="shared" si="6"/>
        <v>-21736421.190000001</v>
      </c>
      <c r="N442" s="6" t="str">
        <f>IF(ISERROR(VLOOKUP($A442,'Plano de Contas'!#REF!,8,FALSE)),"",VLOOKUP($A442,'Plano de Contas'!#REF!,8,FALSE))</f>
        <v/>
      </c>
      <c r="P442" s="6" t="str">
        <f>IF(ISERROR(VLOOKUP($A442,'Plano de Contas'!#REF!,10,FALSE)),"",VLOOKUP($A442,'Plano de Contas'!#REF!,10,FALSE))</f>
        <v/>
      </c>
    </row>
    <row r="443" spans="1:16" x14ac:dyDescent="0.25">
      <c r="A443" t="s">
        <v>743</v>
      </c>
      <c r="B443">
        <v>200</v>
      </c>
      <c r="C443" t="s">
        <v>744</v>
      </c>
      <c r="D443" s="10">
        <v>-371106.7</v>
      </c>
      <c r="F443">
        <v>0</v>
      </c>
      <c r="H443" s="10">
        <v>-117807.14</v>
      </c>
      <c r="J443" s="10">
        <v>-488913.84</v>
      </c>
      <c r="L443" s="1">
        <f t="shared" si="6"/>
        <v>-488913.84</v>
      </c>
      <c r="N443" s="6" t="str">
        <f>IF(ISERROR(VLOOKUP($A443,'Plano de Contas'!#REF!,8,FALSE)),"",VLOOKUP($A443,'Plano de Contas'!#REF!,8,FALSE))</f>
        <v/>
      </c>
      <c r="P443" s="6" t="str">
        <f>IF(ISERROR(VLOOKUP($A443,'Plano de Contas'!#REF!,10,FALSE)),"",VLOOKUP($A443,'Plano de Contas'!#REF!,10,FALSE))</f>
        <v/>
      </c>
    </row>
    <row r="444" spans="1:16" x14ac:dyDescent="0.25">
      <c r="A444" t="s">
        <v>745</v>
      </c>
      <c r="B444">
        <v>201</v>
      </c>
      <c r="C444" t="s">
        <v>746</v>
      </c>
      <c r="D444" s="10">
        <v>-7488309.2300000004</v>
      </c>
      <c r="F444">
        <v>0</v>
      </c>
      <c r="H444" s="10">
        <v>-625427.17000000004</v>
      </c>
      <c r="J444" s="10">
        <v>-8113736.4000000004</v>
      </c>
      <c r="L444" s="1">
        <f t="shared" si="6"/>
        <v>-8113736.4000000004</v>
      </c>
      <c r="N444" s="6" t="str">
        <f>IF(ISERROR(VLOOKUP($A444,'Plano de Contas'!#REF!,8,FALSE)),"",VLOOKUP($A444,'Plano de Contas'!#REF!,8,FALSE))</f>
        <v/>
      </c>
      <c r="P444" s="6" t="str">
        <f>IF(ISERROR(VLOOKUP($A444,'Plano de Contas'!#REF!,10,FALSE)),"",VLOOKUP($A444,'Plano de Contas'!#REF!,10,FALSE))</f>
        <v/>
      </c>
    </row>
    <row r="445" spans="1:16" x14ac:dyDescent="0.25">
      <c r="A445" t="s">
        <v>747</v>
      </c>
      <c r="B445">
        <v>202</v>
      </c>
      <c r="C445" t="s">
        <v>748</v>
      </c>
      <c r="D445" s="10">
        <v>52354121.270000003</v>
      </c>
      <c r="E445" t="s">
        <v>35</v>
      </c>
      <c r="F445">
        <v>0</v>
      </c>
      <c r="H445" s="10">
        <v>5856734.7000000002</v>
      </c>
      <c r="I445" t="s">
        <v>35</v>
      </c>
      <c r="J445" s="10">
        <v>58210855.969999999</v>
      </c>
      <c r="K445" t="s">
        <v>35</v>
      </c>
      <c r="L445" s="1">
        <f t="shared" si="6"/>
        <v>-58210855.969999999</v>
      </c>
      <c r="N445" s="6" t="str">
        <f>IF(ISERROR(VLOOKUP($A445,'Plano de Contas'!#REF!,8,FALSE)),"",VLOOKUP($A445,'Plano de Contas'!#REF!,8,FALSE))</f>
        <v/>
      </c>
      <c r="P445" s="6" t="str">
        <f>IF(ISERROR(VLOOKUP($A445,'Plano de Contas'!#REF!,10,FALSE)),"",VLOOKUP($A445,'Plano de Contas'!#REF!,10,FALSE))</f>
        <v/>
      </c>
    </row>
    <row r="446" spans="1:16" x14ac:dyDescent="0.25">
      <c r="A446" t="s">
        <v>749</v>
      </c>
      <c r="B446">
        <v>628</v>
      </c>
      <c r="C446" t="s">
        <v>750</v>
      </c>
      <c r="D446" s="10">
        <v>1034000</v>
      </c>
      <c r="E446" t="s">
        <v>35</v>
      </c>
      <c r="F446">
        <v>0</v>
      </c>
      <c r="H446">
        <v>0</v>
      </c>
      <c r="J446" s="10">
        <v>1034000</v>
      </c>
      <c r="K446" t="s">
        <v>35</v>
      </c>
      <c r="L446" s="1">
        <f t="shared" si="6"/>
        <v>-1034000</v>
      </c>
      <c r="N446" s="6" t="str">
        <f>IF(ISERROR(VLOOKUP($A446,'Plano de Contas'!#REF!,8,FALSE)),"",VLOOKUP($A446,'Plano de Contas'!#REF!,8,FALSE))</f>
        <v/>
      </c>
      <c r="P446" s="6" t="str">
        <f>IF(ISERROR(VLOOKUP($A446,'Plano de Contas'!#REF!,10,FALSE)),"",VLOOKUP($A446,'Plano de Contas'!#REF!,10,FALSE))</f>
        <v/>
      </c>
    </row>
    <row r="447" spans="1:16" x14ac:dyDescent="0.25">
      <c r="L447" s="1">
        <f t="shared" si="6"/>
        <v>0</v>
      </c>
      <c r="N447" s="6" t="str">
        <f>IF(ISERROR(VLOOKUP($A447,'Plano de Contas'!#REF!,8,FALSE)),"",VLOOKUP($A447,'Plano de Contas'!#REF!,8,FALSE))</f>
        <v/>
      </c>
      <c r="P447" s="6" t="str">
        <f>IF(ISERROR(VLOOKUP($A447,'Plano de Contas'!#REF!,10,FALSE)),"",VLOOKUP($A447,'Plano de Contas'!#REF!,10,FALSE))</f>
        <v/>
      </c>
    </row>
    <row r="448" spans="1:16" x14ac:dyDescent="0.25">
      <c r="A448" t="s">
        <v>751</v>
      </c>
      <c r="B448">
        <v>205</v>
      </c>
      <c r="C448" t="s">
        <v>752</v>
      </c>
      <c r="D448" s="10">
        <v>9160342.2100000009</v>
      </c>
      <c r="F448" s="10">
        <v>989845.89</v>
      </c>
      <c r="H448" s="10">
        <v>17805.740000000002</v>
      </c>
      <c r="I448" t="s">
        <v>35</v>
      </c>
      <c r="J448" s="10">
        <v>10132382.359999999</v>
      </c>
      <c r="L448" s="1">
        <f t="shared" si="6"/>
        <v>10132382.359999999</v>
      </c>
      <c r="N448" s="6" t="str">
        <f>IF(ISERROR(VLOOKUP($A448,'Plano de Contas'!#REF!,8,FALSE)),"",VLOOKUP($A448,'Plano de Contas'!#REF!,8,FALSE))</f>
        <v/>
      </c>
      <c r="P448" s="6" t="str">
        <f>IF(ISERROR(VLOOKUP($A448,'Plano de Contas'!#REF!,10,FALSE)),"",VLOOKUP($A448,'Plano de Contas'!#REF!,10,FALSE))</f>
        <v/>
      </c>
    </row>
    <row r="449" spans="1:16" x14ac:dyDescent="0.25">
      <c r="A449" t="s">
        <v>753</v>
      </c>
      <c r="B449">
        <v>206</v>
      </c>
      <c r="C449" t="s">
        <v>754</v>
      </c>
      <c r="D449" s="10">
        <v>1330367.45</v>
      </c>
      <c r="F449" s="10">
        <v>148519.39000000001</v>
      </c>
      <c r="H449" s="10">
        <v>3174.61</v>
      </c>
      <c r="I449" t="s">
        <v>35</v>
      </c>
      <c r="J449" s="10">
        <v>1475712.23</v>
      </c>
      <c r="L449" s="1">
        <f t="shared" si="6"/>
        <v>1475712.23</v>
      </c>
      <c r="N449" s="6" t="str">
        <f>IF(ISERROR(VLOOKUP($A449,'Plano de Contas'!#REF!,8,FALSE)),"",VLOOKUP($A449,'Plano de Contas'!#REF!,8,FALSE))</f>
        <v/>
      </c>
      <c r="P449" s="6" t="str">
        <f>IF(ISERROR(VLOOKUP($A449,'Plano de Contas'!#REF!,10,FALSE)),"",VLOOKUP($A449,'Plano de Contas'!#REF!,10,FALSE))</f>
        <v/>
      </c>
    </row>
    <row r="450" spans="1:16" x14ac:dyDescent="0.25">
      <c r="A450" t="s">
        <v>755</v>
      </c>
      <c r="B450">
        <v>207</v>
      </c>
      <c r="C450" t="s">
        <v>554</v>
      </c>
      <c r="D450" s="10">
        <v>6127769.1399999997</v>
      </c>
      <c r="F450" s="10">
        <v>684097.99</v>
      </c>
      <c r="H450" s="10">
        <v>14631.13</v>
      </c>
      <c r="I450" t="s">
        <v>35</v>
      </c>
      <c r="J450" s="10">
        <v>6797236</v>
      </c>
      <c r="L450" s="1">
        <f t="shared" si="6"/>
        <v>6797236</v>
      </c>
      <c r="N450" s="6" t="str">
        <f>IF(ISERROR(VLOOKUP($A450,'Plano de Contas'!#REF!,8,FALSE)),"",VLOOKUP($A450,'Plano de Contas'!#REF!,8,FALSE))</f>
        <v/>
      </c>
      <c r="P450" s="6" t="str">
        <f>IF(ISERROR(VLOOKUP($A450,'Plano de Contas'!#REF!,10,FALSE)),"",VLOOKUP($A450,'Plano de Contas'!#REF!,10,FALSE))</f>
        <v/>
      </c>
    </row>
    <row r="451" spans="1:16" x14ac:dyDescent="0.25">
      <c r="A451" t="s">
        <v>756</v>
      </c>
      <c r="B451">
        <v>208</v>
      </c>
      <c r="C451" t="s">
        <v>757</v>
      </c>
      <c r="D451" s="10">
        <v>1371801.76</v>
      </c>
      <c r="F451" s="10">
        <v>157228.51</v>
      </c>
      <c r="H451">
        <v>0</v>
      </c>
      <c r="J451" s="10">
        <v>1529030.27</v>
      </c>
      <c r="L451" s="1">
        <f t="shared" si="6"/>
        <v>1529030.27</v>
      </c>
      <c r="N451" s="6" t="str">
        <f>IF(ISERROR(VLOOKUP($A451,'Plano de Contas'!#REF!,8,FALSE)),"",VLOOKUP($A451,'Plano de Contas'!#REF!,8,FALSE))</f>
        <v/>
      </c>
      <c r="P451" s="6" t="str">
        <f>IF(ISERROR(VLOOKUP($A451,'Plano de Contas'!#REF!,10,FALSE)),"",VLOOKUP($A451,'Plano de Contas'!#REF!,10,FALSE))</f>
        <v/>
      </c>
    </row>
    <row r="452" spans="1:16" x14ac:dyDescent="0.25">
      <c r="A452" t="s">
        <v>758</v>
      </c>
      <c r="B452">
        <v>332</v>
      </c>
      <c r="C452" t="s">
        <v>759</v>
      </c>
      <c r="D452" s="10">
        <v>154623.85999999999</v>
      </c>
      <c r="F452">
        <v>0</v>
      </c>
      <c r="H452">
        <v>0</v>
      </c>
      <c r="J452" s="10">
        <v>154623.85999999999</v>
      </c>
      <c r="L452" s="1">
        <f>IF(K452="-",-J452,J452)</f>
        <v>154623.85999999999</v>
      </c>
      <c r="N452" s="6" t="str">
        <f>IF(ISERROR(VLOOKUP($A452,'Plano de Contas'!#REF!,8,FALSE)),"",VLOOKUP($A452,'Plano de Contas'!#REF!,8,FALSE))</f>
        <v/>
      </c>
      <c r="P452" s="6" t="str">
        <f>IF(ISERROR(VLOOKUP($A452,'Plano de Contas'!#REF!,10,FALSE)),"",VLOOKUP($A452,'Plano de Contas'!#REF!,10,FALSE))</f>
        <v/>
      </c>
    </row>
    <row r="453" spans="1:16" x14ac:dyDescent="0.25">
      <c r="A453" t="s">
        <v>760</v>
      </c>
      <c r="B453">
        <v>486</v>
      </c>
      <c r="C453" t="s">
        <v>761</v>
      </c>
      <c r="D453" s="10">
        <v>175780</v>
      </c>
      <c r="F453">
        <v>0</v>
      </c>
      <c r="H453">
        <v>0</v>
      </c>
      <c r="J453" s="10">
        <v>175780</v>
      </c>
      <c r="L453" s="1">
        <f t="shared" si="6"/>
        <v>175780</v>
      </c>
      <c r="N453" s="6" t="str">
        <f>IF(ISERROR(VLOOKUP($A453,'Plano de Contas'!#REF!,8,FALSE)),"",VLOOKUP($A453,'Plano de Contas'!#REF!,8,FALSE))</f>
        <v/>
      </c>
      <c r="P453" s="6" t="str">
        <f>IF(ISERROR(VLOOKUP($A453,'Plano de Contas'!#REF!,10,FALSE)),"",VLOOKUP($A453,'Plano de Contas'!#REF!,10,FALSE))</f>
        <v/>
      </c>
    </row>
    <row r="454" spans="1:16" x14ac:dyDescent="0.25">
      <c r="L454" s="1">
        <f t="shared" si="6"/>
        <v>0</v>
      </c>
      <c r="N454" s="6" t="str">
        <f>IF(ISERROR(VLOOKUP($A454,'Plano de Contas'!#REF!,8,FALSE)),"",VLOOKUP($A454,'Plano de Contas'!#REF!,8,FALSE))</f>
        <v/>
      </c>
      <c r="P454" s="6" t="str">
        <f>IF(ISERROR(VLOOKUP($A454,'Plano de Contas'!#REF!,10,FALSE)),"",VLOOKUP($A454,'Plano de Contas'!#REF!,10,FALSE))</f>
        <v/>
      </c>
    </row>
    <row r="455" spans="1:16" x14ac:dyDescent="0.25">
      <c r="A455" t="s">
        <v>762</v>
      </c>
      <c r="B455">
        <v>209</v>
      </c>
      <c r="C455" t="s">
        <v>763</v>
      </c>
      <c r="D455" s="10">
        <v>69196109.439999998</v>
      </c>
      <c r="F455" s="10">
        <v>8411113.75</v>
      </c>
      <c r="H455" s="10">
        <v>9179556.9700000007</v>
      </c>
      <c r="I455" t="s">
        <v>35</v>
      </c>
      <c r="J455" s="10">
        <v>68427666.219999999</v>
      </c>
      <c r="L455" s="1">
        <f t="shared" si="6"/>
        <v>68427666.219999999</v>
      </c>
      <c r="N455" s="6" t="str">
        <f>IF(ISERROR(VLOOKUP($A455,'Plano de Contas'!#REF!,8,FALSE)),"",VLOOKUP($A455,'Plano de Contas'!#REF!,8,FALSE))</f>
        <v/>
      </c>
      <c r="P455" s="6" t="str">
        <f>IF(ISERROR(VLOOKUP($A455,'Plano de Contas'!#REF!,10,FALSE)),"",VLOOKUP($A455,'Plano de Contas'!#REF!,10,FALSE))</f>
        <v/>
      </c>
    </row>
    <row r="456" spans="1:16" x14ac:dyDescent="0.25">
      <c r="L456" s="1">
        <f t="shared" ref="L456:L519" si="7">IF(K456="-",-J456,J456)</f>
        <v>0</v>
      </c>
      <c r="N456" s="6" t="str">
        <f>IF(ISERROR(VLOOKUP($A456,'Plano de Contas'!#REF!,8,FALSE)),"",VLOOKUP($A456,'Plano de Contas'!#REF!,8,FALSE))</f>
        <v/>
      </c>
      <c r="P456" s="6" t="str">
        <f>IF(ISERROR(VLOOKUP($A456,'Plano de Contas'!#REF!,10,FALSE)),"",VLOOKUP($A456,'Plano de Contas'!#REF!,10,FALSE))</f>
        <v/>
      </c>
    </row>
    <row r="457" spans="1:16" x14ac:dyDescent="0.25">
      <c r="A457" t="s">
        <v>764</v>
      </c>
      <c r="B457">
        <v>210</v>
      </c>
      <c r="C457" t="s">
        <v>765</v>
      </c>
      <c r="D457" s="10">
        <v>355004.31</v>
      </c>
      <c r="F457" s="10">
        <v>8698.68</v>
      </c>
      <c r="H457">
        <v>0</v>
      </c>
      <c r="J457" s="10">
        <v>363702.99</v>
      </c>
      <c r="L457" s="1">
        <f t="shared" si="7"/>
        <v>363702.99</v>
      </c>
      <c r="N457" s="6" t="str">
        <f>IF(ISERROR(VLOOKUP($A457,'Plano de Contas'!#REF!,8,FALSE)),"",VLOOKUP($A457,'Plano de Contas'!#REF!,8,FALSE))</f>
        <v/>
      </c>
      <c r="P457" s="6" t="str">
        <f>IF(ISERROR(VLOOKUP($A457,'Plano de Contas'!#REF!,10,FALSE)),"",VLOOKUP($A457,'Plano de Contas'!#REF!,10,FALSE))</f>
        <v/>
      </c>
    </row>
    <row r="458" spans="1:16" x14ac:dyDescent="0.25">
      <c r="A458" t="s">
        <v>766</v>
      </c>
      <c r="B458">
        <v>212</v>
      </c>
      <c r="C458" t="s">
        <v>767</v>
      </c>
      <c r="D458" s="10">
        <v>316965.34000000003</v>
      </c>
      <c r="F458" s="10">
        <v>8698.68</v>
      </c>
      <c r="H458">
        <v>0</v>
      </c>
      <c r="J458" s="10">
        <v>325664.02</v>
      </c>
      <c r="L458" s="1">
        <f t="shared" si="7"/>
        <v>325664.02</v>
      </c>
      <c r="N458" s="6" t="str">
        <f>IF(ISERROR(VLOOKUP($A458,'Plano de Contas'!#REF!,8,FALSE)),"",VLOOKUP($A458,'Plano de Contas'!#REF!,8,FALSE))</f>
        <v/>
      </c>
      <c r="P458" s="6" t="str">
        <f>IF(ISERROR(VLOOKUP($A458,'Plano de Contas'!#REF!,10,FALSE)),"",VLOOKUP($A458,'Plano de Contas'!#REF!,10,FALSE))</f>
        <v/>
      </c>
    </row>
    <row r="459" spans="1:16" x14ac:dyDescent="0.25">
      <c r="A459" t="s">
        <v>768</v>
      </c>
      <c r="B459">
        <v>217</v>
      </c>
      <c r="C459" t="s">
        <v>769</v>
      </c>
      <c r="D459" s="10">
        <v>38038.97</v>
      </c>
      <c r="F459">
        <v>0</v>
      </c>
      <c r="H459">
        <v>0</v>
      </c>
      <c r="J459" s="10">
        <v>38038.97</v>
      </c>
      <c r="L459" s="1">
        <f t="shared" si="7"/>
        <v>38038.97</v>
      </c>
      <c r="N459" s="6" t="str">
        <f>IF(ISERROR(VLOOKUP($A459,'Plano de Contas'!#REF!,8,FALSE)),"",VLOOKUP($A459,'Plano de Contas'!#REF!,8,FALSE))</f>
        <v/>
      </c>
      <c r="P459" s="6" t="str">
        <f>IF(ISERROR(VLOOKUP($A459,'Plano de Contas'!#REF!,10,FALSE)),"",VLOOKUP($A459,'Plano de Contas'!#REF!,10,FALSE))</f>
        <v/>
      </c>
    </row>
    <row r="460" spans="1:16" x14ac:dyDescent="0.25">
      <c r="L460" s="1">
        <f t="shared" si="7"/>
        <v>0</v>
      </c>
      <c r="N460" s="6" t="str">
        <f>IF(ISERROR(VLOOKUP($A460,'Plano de Contas'!#REF!,8,FALSE)),"",VLOOKUP($A460,'Plano de Contas'!#REF!,8,FALSE))</f>
        <v/>
      </c>
      <c r="P460" s="6" t="str">
        <f>IF(ISERROR(VLOOKUP($A460,'Plano de Contas'!#REF!,10,FALSE)),"",VLOOKUP($A460,'Plano de Contas'!#REF!,10,FALSE))</f>
        <v/>
      </c>
    </row>
    <row r="461" spans="1:16" x14ac:dyDescent="0.25">
      <c r="A461" t="s">
        <v>770</v>
      </c>
      <c r="B461">
        <v>221</v>
      </c>
      <c r="C461" t="s">
        <v>771</v>
      </c>
      <c r="D461" s="10">
        <v>31193877.609999999</v>
      </c>
      <c r="F461" s="10">
        <v>3327193.04</v>
      </c>
      <c r="H461" s="10">
        <v>221123.98</v>
      </c>
      <c r="I461" t="s">
        <v>35</v>
      </c>
      <c r="J461" s="10">
        <v>34299946.670000002</v>
      </c>
      <c r="L461" s="1">
        <f t="shared" si="7"/>
        <v>34299946.670000002</v>
      </c>
      <c r="N461" s="6" t="str">
        <f>IF(ISERROR(VLOOKUP($A461,'Plano de Contas'!#REF!,8,FALSE)),"",VLOOKUP($A461,'Plano de Contas'!#REF!,8,FALSE))</f>
        <v/>
      </c>
      <c r="P461" s="6" t="str">
        <f>IF(ISERROR(VLOOKUP($A461,'Plano de Contas'!#REF!,10,FALSE)),"",VLOOKUP($A461,'Plano de Contas'!#REF!,10,FALSE))</f>
        <v/>
      </c>
    </row>
    <row r="462" spans="1:16" x14ac:dyDescent="0.25">
      <c r="A462" t="s">
        <v>772</v>
      </c>
      <c r="B462">
        <v>222</v>
      </c>
      <c r="C462" t="s">
        <v>773</v>
      </c>
      <c r="D462" s="10">
        <v>8878560.8699999992</v>
      </c>
      <c r="F462" s="10">
        <v>894410.7</v>
      </c>
      <c r="H462" s="10">
        <v>-148341.42000000001</v>
      </c>
      <c r="J462" s="10">
        <v>9624630.1500000004</v>
      </c>
      <c r="L462" s="1">
        <f t="shared" si="7"/>
        <v>9624630.1500000004</v>
      </c>
      <c r="N462" s="6" t="str">
        <f>IF(ISERROR(VLOOKUP($A462,'Plano de Contas'!#REF!,8,FALSE)),"",VLOOKUP($A462,'Plano de Contas'!#REF!,8,FALSE))</f>
        <v/>
      </c>
      <c r="P462" s="6" t="str">
        <f>IF(ISERROR(VLOOKUP($A462,'Plano de Contas'!#REF!,10,FALSE)),"",VLOOKUP($A462,'Plano de Contas'!#REF!,10,FALSE))</f>
        <v/>
      </c>
    </row>
    <row r="463" spans="1:16" x14ac:dyDescent="0.25">
      <c r="A463" t="s">
        <v>774</v>
      </c>
      <c r="B463">
        <v>223</v>
      </c>
      <c r="C463" t="s">
        <v>775</v>
      </c>
      <c r="D463" s="10">
        <v>372139.9</v>
      </c>
      <c r="F463">
        <v>0</v>
      </c>
      <c r="H463">
        <v>0</v>
      </c>
      <c r="J463" s="10">
        <v>372139.9</v>
      </c>
      <c r="L463" s="1">
        <f t="shared" si="7"/>
        <v>372139.9</v>
      </c>
      <c r="N463" s="6" t="str">
        <f>IF(ISERROR(VLOOKUP($A463,'Plano de Contas'!#REF!,8,FALSE)),"",VLOOKUP($A463,'Plano de Contas'!#REF!,8,FALSE))</f>
        <v/>
      </c>
      <c r="P463" s="6" t="str">
        <f>IF(ISERROR(VLOOKUP($A463,'Plano de Contas'!#REF!,10,FALSE)),"",VLOOKUP($A463,'Plano de Contas'!#REF!,10,FALSE))</f>
        <v/>
      </c>
    </row>
    <row r="464" spans="1:16" x14ac:dyDescent="0.25">
      <c r="A464" t="s">
        <v>776</v>
      </c>
      <c r="B464">
        <v>224</v>
      </c>
      <c r="C464" t="s">
        <v>777</v>
      </c>
      <c r="D464" s="10">
        <v>1953049.22</v>
      </c>
      <c r="F464" s="10">
        <v>193777.71</v>
      </c>
      <c r="H464">
        <v>0</v>
      </c>
      <c r="J464" s="10">
        <v>2146826.9300000002</v>
      </c>
      <c r="L464" s="1">
        <f t="shared" si="7"/>
        <v>2146826.9300000002</v>
      </c>
      <c r="N464" s="6" t="str">
        <f>IF(ISERROR(VLOOKUP($A464,'Plano de Contas'!#REF!,8,FALSE)),"",VLOOKUP($A464,'Plano de Contas'!#REF!,8,FALSE))</f>
        <v/>
      </c>
      <c r="P464" s="6" t="str">
        <f>IF(ISERROR(VLOOKUP($A464,'Plano de Contas'!#REF!,10,FALSE)),"",VLOOKUP($A464,'Plano de Contas'!#REF!,10,FALSE))</f>
        <v/>
      </c>
    </row>
    <row r="465" spans="1:16" x14ac:dyDescent="0.25">
      <c r="A465" t="s">
        <v>778</v>
      </c>
      <c r="B465">
        <v>225</v>
      </c>
      <c r="C465" t="s">
        <v>779</v>
      </c>
      <c r="D465" s="10">
        <v>1311945.55</v>
      </c>
      <c r="F465" s="10">
        <v>346063.1</v>
      </c>
      <c r="H465">
        <v>0</v>
      </c>
      <c r="J465" s="10">
        <v>1658008.65</v>
      </c>
      <c r="L465" s="1">
        <f t="shared" si="7"/>
        <v>1658008.65</v>
      </c>
      <c r="N465" s="6" t="str">
        <f>IF(ISERROR(VLOOKUP($A465,'Plano de Contas'!#REF!,8,FALSE)),"",VLOOKUP($A465,'Plano de Contas'!#REF!,8,FALSE))</f>
        <v/>
      </c>
      <c r="P465" s="6" t="str">
        <f>IF(ISERROR(VLOOKUP($A465,'Plano de Contas'!#REF!,10,FALSE)),"",VLOOKUP($A465,'Plano de Contas'!#REF!,10,FALSE))</f>
        <v/>
      </c>
    </row>
    <row r="466" spans="1:16" x14ac:dyDescent="0.25">
      <c r="A466" t="s">
        <v>780</v>
      </c>
      <c r="B466">
        <v>226</v>
      </c>
      <c r="C466" t="s">
        <v>769</v>
      </c>
      <c r="D466" s="10">
        <v>6543803.2800000003</v>
      </c>
      <c r="F466" s="10">
        <v>618172.18999999994</v>
      </c>
      <c r="H466">
        <v>0</v>
      </c>
      <c r="J466" s="10">
        <v>7161975.4699999997</v>
      </c>
      <c r="L466" s="1">
        <f t="shared" si="7"/>
        <v>7161975.4699999997</v>
      </c>
      <c r="N466" s="6" t="str">
        <f>IF(ISERROR(VLOOKUP($A466,'Plano de Contas'!#REF!,8,FALSE)),"",VLOOKUP($A466,'Plano de Contas'!#REF!,8,FALSE))</f>
        <v/>
      </c>
      <c r="P466" s="6" t="str">
        <f>IF(ISERROR(VLOOKUP($A466,'Plano de Contas'!#REF!,10,FALSE)),"",VLOOKUP($A466,'Plano de Contas'!#REF!,10,FALSE))</f>
        <v/>
      </c>
    </row>
    <row r="467" spans="1:16" x14ac:dyDescent="0.25">
      <c r="A467" t="s">
        <v>781</v>
      </c>
      <c r="B467">
        <v>227</v>
      </c>
      <c r="C467" t="s">
        <v>782</v>
      </c>
      <c r="D467" s="10">
        <v>1379.1</v>
      </c>
      <c r="F467" s="10">
        <v>1227.81</v>
      </c>
      <c r="H467">
        <v>0</v>
      </c>
      <c r="J467" s="10">
        <v>2606.91</v>
      </c>
      <c r="L467" s="1">
        <f t="shared" si="7"/>
        <v>2606.91</v>
      </c>
      <c r="N467" s="6" t="str">
        <f>IF(ISERROR(VLOOKUP($A467,'Plano de Contas'!#REF!,8,FALSE)),"",VLOOKUP($A467,'Plano de Contas'!#REF!,8,FALSE))</f>
        <v/>
      </c>
      <c r="P467" s="6" t="str">
        <f>IF(ISERROR(VLOOKUP($A467,'Plano de Contas'!#REF!,10,FALSE)),"",VLOOKUP($A467,'Plano de Contas'!#REF!,10,FALSE))</f>
        <v/>
      </c>
    </row>
    <row r="468" spans="1:16" x14ac:dyDescent="0.25">
      <c r="A468" t="s">
        <v>783</v>
      </c>
      <c r="B468">
        <v>228</v>
      </c>
      <c r="C468" t="s">
        <v>540</v>
      </c>
      <c r="D468" s="10">
        <v>5252595.55</v>
      </c>
      <c r="F468" s="10">
        <v>549291.80000000005</v>
      </c>
      <c r="H468">
        <v>0</v>
      </c>
      <c r="J468" s="10">
        <v>5801887.3499999996</v>
      </c>
      <c r="L468" s="1">
        <f t="shared" si="7"/>
        <v>5801887.3499999996</v>
      </c>
      <c r="N468" s="6" t="str">
        <f>IF(ISERROR(VLOOKUP($A468,'Plano de Contas'!#REF!,8,FALSE)),"",VLOOKUP($A468,'Plano de Contas'!#REF!,8,FALSE))</f>
        <v/>
      </c>
      <c r="P468" s="6" t="str">
        <f>IF(ISERROR(VLOOKUP($A468,'Plano de Contas'!#REF!,10,FALSE)),"",VLOOKUP($A468,'Plano de Contas'!#REF!,10,FALSE))</f>
        <v/>
      </c>
    </row>
    <row r="469" spans="1:16" x14ac:dyDescent="0.25">
      <c r="A469" t="s">
        <v>784</v>
      </c>
      <c r="B469">
        <v>229</v>
      </c>
      <c r="C469" t="s">
        <v>785</v>
      </c>
      <c r="D469" s="10">
        <v>1558130.26</v>
      </c>
      <c r="F469" s="10">
        <v>170561.2</v>
      </c>
      <c r="H469">
        <v>0</v>
      </c>
      <c r="J469" s="10">
        <v>1728691.46</v>
      </c>
      <c r="L469" s="1">
        <f t="shared" si="7"/>
        <v>1728691.46</v>
      </c>
      <c r="N469" s="6" t="str">
        <f>IF(ISERROR(VLOOKUP($A469,'Plano de Contas'!#REF!,8,FALSE)),"",VLOOKUP($A469,'Plano de Contas'!#REF!,8,FALSE))</f>
        <v/>
      </c>
      <c r="P469" s="6" t="str">
        <f>IF(ISERROR(VLOOKUP($A469,'Plano de Contas'!#REF!,10,FALSE)),"",VLOOKUP($A469,'Plano de Contas'!#REF!,10,FALSE))</f>
        <v/>
      </c>
    </row>
    <row r="470" spans="1:16" x14ac:dyDescent="0.25">
      <c r="A470" t="s">
        <v>786</v>
      </c>
      <c r="B470">
        <v>230</v>
      </c>
      <c r="C470" t="s">
        <v>787</v>
      </c>
      <c r="D470" s="10">
        <v>59094</v>
      </c>
      <c r="F470">
        <v>0</v>
      </c>
      <c r="H470">
        <v>0</v>
      </c>
      <c r="J470" s="10">
        <v>59094</v>
      </c>
      <c r="L470" s="1">
        <f t="shared" si="7"/>
        <v>59094</v>
      </c>
      <c r="N470" s="6" t="str">
        <f>IF(ISERROR(VLOOKUP($A470,'Plano de Contas'!#REF!,8,FALSE)),"",VLOOKUP($A470,'Plano de Contas'!#REF!,8,FALSE))</f>
        <v/>
      </c>
      <c r="P470" s="6" t="str">
        <f>IF(ISERROR(VLOOKUP($A470,'Plano de Contas'!#REF!,10,FALSE)),"",VLOOKUP($A470,'Plano de Contas'!#REF!,10,FALSE))</f>
        <v/>
      </c>
    </row>
    <row r="471" spans="1:16" x14ac:dyDescent="0.25">
      <c r="A471" t="s">
        <v>788</v>
      </c>
      <c r="B471">
        <v>231</v>
      </c>
      <c r="C471" t="s">
        <v>789</v>
      </c>
      <c r="D471" s="10">
        <v>531967.51</v>
      </c>
      <c r="F471" s="10">
        <v>98411.79</v>
      </c>
      <c r="H471" s="10">
        <v>-52229.74</v>
      </c>
      <c r="J471" s="10">
        <v>578149.56000000006</v>
      </c>
      <c r="L471" s="1">
        <f t="shared" si="7"/>
        <v>578149.56000000006</v>
      </c>
      <c r="N471" s="6" t="str">
        <f>IF(ISERROR(VLOOKUP($A471,'Plano de Contas'!#REF!,8,FALSE)),"",VLOOKUP($A471,'Plano de Contas'!#REF!,8,FALSE))</f>
        <v/>
      </c>
      <c r="P471" s="6" t="str">
        <f>IF(ISERROR(VLOOKUP($A471,'Plano de Contas'!#REF!,10,FALSE)),"",VLOOKUP($A471,'Plano de Contas'!#REF!,10,FALSE))</f>
        <v/>
      </c>
    </row>
    <row r="472" spans="1:16" x14ac:dyDescent="0.25">
      <c r="A472" t="s">
        <v>790</v>
      </c>
      <c r="B472">
        <v>232</v>
      </c>
      <c r="C472" t="s">
        <v>791</v>
      </c>
      <c r="D472" s="10">
        <v>99280.31</v>
      </c>
      <c r="F472" s="10">
        <v>23510.63</v>
      </c>
      <c r="H472" s="10">
        <v>1100.24</v>
      </c>
      <c r="I472" t="s">
        <v>35</v>
      </c>
      <c r="J472" s="10">
        <v>121690.7</v>
      </c>
      <c r="L472" s="1">
        <f t="shared" si="7"/>
        <v>121690.7</v>
      </c>
      <c r="N472" s="6" t="str">
        <f>IF(ISERROR(VLOOKUP($A472,'Plano de Contas'!#REF!,8,FALSE)),"",VLOOKUP($A472,'Plano de Contas'!#REF!,8,FALSE))</f>
        <v/>
      </c>
      <c r="P472" s="6" t="str">
        <f>IF(ISERROR(VLOOKUP($A472,'Plano de Contas'!#REF!,10,FALSE)),"",VLOOKUP($A472,'Plano de Contas'!#REF!,10,FALSE))</f>
        <v/>
      </c>
    </row>
    <row r="473" spans="1:16" x14ac:dyDescent="0.25">
      <c r="A473" t="s">
        <v>792</v>
      </c>
      <c r="B473">
        <v>233</v>
      </c>
      <c r="C473" t="s">
        <v>793</v>
      </c>
      <c r="D473" s="10">
        <v>2024533.06</v>
      </c>
      <c r="F473" s="10">
        <v>187832.98</v>
      </c>
      <c r="H473" s="10">
        <v>5862.17</v>
      </c>
      <c r="I473" t="s">
        <v>35</v>
      </c>
      <c r="J473" s="10">
        <v>2206503.87</v>
      </c>
      <c r="L473" s="1">
        <f t="shared" si="7"/>
        <v>2206503.87</v>
      </c>
      <c r="N473" s="6" t="str">
        <f>IF(ISERROR(VLOOKUP($A473,'Plano de Contas'!#REF!,8,FALSE)),"",VLOOKUP($A473,'Plano de Contas'!#REF!,8,FALSE))</f>
        <v/>
      </c>
      <c r="P473" s="6" t="str">
        <f>IF(ISERROR(VLOOKUP($A473,'Plano de Contas'!#REF!,10,FALSE)),"",VLOOKUP($A473,'Plano de Contas'!#REF!,10,FALSE))</f>
        <v/>
      </c>
    </row>
    <row r="474" spans="1:16" x14ac:dyDescent="0.25">
      <c r="A474" t="s">
        <v>794</v>
      </c>
      <c r="B474">
        <v>235</v>
      </c>
      <c r="C474" t="s">
        <v>795</v>
      </c>
      <c r="D474" s="10">
        <v>-68268.240000000005</v>
      </c>
      <c r="F474">
        <v>0</v>
      </c>
      <c r="H474" s="10">
        <v>-13590.41</v>
      </c>
      <c r="J474" s="10">
        <v>-81858.649999999994</v>
      </c>
      <c r="L474" s="1">
        <f t="shared" si="7"/>
        <v>-81858.649999999994</v>
      </c>
      <c r="N474" s="6" t="str">
        <f>IF(ISERROR(VLOOKUP($A474,'Plano de Contas'!#REF!,8,FALSE)),"",VLOOKUP($A474,'Plano de Contas'!#REF!,8,FALSE))</f>
        <v/>
      </c>
      <c r="P474" s="6" t="str">
        <f>IF(ISERROR(VLOOKUP($A474,'Plano de Contas'!#REF!,10,FALSE)),"",VLOOKUP($A474,'Plano de Contas'!#REF!,10,FALSE))</f>
        <v/>
      </c>
    </row>
    <row r="475" spans="1:16" x14ac:dyDescent="0.25">
      <c r="A475" t="s">
        <v>796</v>
      </c>
      <c r="B475">
        <v>702</v>
      </c>
      <c r="C475" t="s">
        <v>797</v>
      </c>
      <c r="D475" s="10">
        <v>139630.32999999999</v>
      </c>
      <c r="F475" s="10">
        <v>10271.56</v>
      </c>
      <c r="H475">
        <v>0</v>
      </c>
      <c r="J475" s="10">
        <v>149901.89000000001</v>
      </c>
      <c r="L475" s="1">
        <f t="shared" si="7"/>
        <v>149901.89000000001</v>
      </c>
      <c r="N475" s="6" t="str">
        <f>IF(ISERROR(VLOOKUP($A475,'Plano de Contas'!#REF!,8,FALSE)),"",VLOOKUP($A475,'Plano de Contas'!#REF!,8,FALSE))</f>
        <v/>
      </c>
      <c r="P475" s="6" t="str">
        <f>IF(ISERROR(VLOOKUP($A475,'Plano de Contas'!#REF!,10,FALSE)),"",VLOOKUP($A475,'Plano de Contas'!#REF!,10,FALSE))</f>
        <v/>
      </c>
    </row>
    <row r="476" spans="1:16" x14ac:dyDescent="0.25">
      <c r="A476" t="s">
        <v>798</v>
      </c>
      <c r="B476">
        <v>703</v>
      </c>
      <c r="C476" t="s">
        <v>799</v>
      </c>
      <c r="D476" s="10">
        <v>130551.11</v>
      </c>
      <c r="F476" s="10">
        <v>15183.41</v>
      </c>
      <c r="H476">
        <v>0</v>
      </c>
      <c r="J476" s="10">
        <v>145734.51999999999</v>
      </c>
      <c r="L476" s="1">
        <f t="shared" si="7"/>
        <v>145734.51999999999</v>
      </c>
      <c r="N476" s="6" t="str">
        <f>IF(ISERROR(VLOOKUP($A476,'Plano de Contas'!#REF!,8,FALSE)),"",VLOOKUP($A476,'Plano de Contas'!#REF!,8,FALSE))</f>
        <v/>
      </c>
      <c r="P476" s="6" t="str">
        <f>IF(ISERROR(VLOOKUP($A476,'Plano de Contas'!#REF!,10,FALSE)),"",VLOOKUP($A476,'Plano de Contas'!#REF!,10,FALSE))</f>
        <v/>
      </c>
    </row>
    <row r="477" spans="1:16" x14ac:dyDescent="0.25">
      <c r="A477" t="s">
        <v>800</v>
      </c>
      <c r="B477">
        <v>704</v>
      </c>
      <c r="C477" t="s">
        <v>801</v>
      </c>
      <c r="D477" s="10">
        <v>8362</v>
      </c>
      <c r="F477">
        <v>813.6</v>
      </c>
      <c r="H477">
        <v>0</v>
      </c>
      <c r="J477" s="10">
        <v>9175.6</v>
      </c>
      <c r="L477" s="1">
        <f t="shared" si="7"/>
        <v>9175.6</v>
      </c>
      <c r="N477" s="6" t="str">
        <f>IF(ISERROR(VLOOKUP($A477,'Plano de Contas'!#REF!,8,FALSE)),"",VLOOKUP($A477,'Plano de Contas'!#REF!,8,FALSE))</f>
        <v/>
      </c>
      <c r="P477" s="6" t="str">
        <f>IF(ISERROR(VLOOKUP($A477,'Plano de Contas'!#REF!,10,FALSE)),"",VLOOKUP($A477,'Plano de Contas'!#REF!,10,FALSE))</f>
        <v/>
      </c>
    </row>
    <row r="478" spans="1:16" x14ac:dyDescent="0.25">
      <c r="A478" t="s">
        <v>802</v>
      </c>
      <c r="B478">
        <v>705</v>
      </c>
      <c r="C478" t="s">
        <v>803</v>
      </c>
      <c r="D478" s="10">
        <v>505991.07</v>
      </c>
      <c r="F478" s="10">
        <v>48371.03</v>
      </c>
      <c r="H478">
        <v>0</v>
      </c>
      <c r="J478" s="10">
        <v>554362.1</v>
      </c>
      <c r="L478" s="1">
        <f t="shared" si="7"/>
        <v>554362.1</v>
      </c>
      <c r="N478" s="6" t="str">
        <f>IF(ISERROR(VLOOKUP($A478,'Plano de Contas'!#REF!,8,FALSE)),"",VLOOKUP($A478,'Plano de Contas'!#REF!,8,FALSE))</f>
        <v/>
      </c>
      <c r="P478" s="6" t="str">
        <f>IF(ISERROR(VLOOKUP($A478,'Plano de Contas'!#REF!,10,FALSE)),"",VLOOKUP($A478,'Plano de Contas'!#REF!,10,FALSE))</f>
        <v/>
      </c>
    </row>
    <row r="479" spans="1:16" x14ac:dyDescent="0.25">
      <c r="A479" t="s">
        <v>804</v>
      </c>
      <c r="B479">
        <v>706</v>
      </c>
      <c r="C479" t="s">
        <v>805</v>
      </c>
      <c r="D479" s="10">
        <v>30479.7</v>
      </c>
      <c r="F479" s="10">
        <v>2058.77</v>
      </c>
      <c r="H479">
        <v>0</v>
      </c>
      <c r="J479" s="10">
        <v>32538.47</v>
      </c>
      <c r="L479" s="1">
        <f t="shared" si="7"/>
        <v>32538.47</v>
      </c>
      <c r="N479" s="6" t="str">
        <f>IF(ISERROR(VLOOKUP($A479,'Plano de Contas'!#REF!,8,FALSE)),"",VLOOKUP($A479,'Plano de Contas'!#REF!,8,FALSE))</f>
        <v/>
      </c>
      <c r="P479" s="6" t="str">
        <f>IF(ISERROR(VLOOKUP($A479,'Plano de Contas'!#REF!,10,FALSE)),"",VLOOKUP($A479,'Plano de Contas'!#REF!,10,FALSE))</f>
        <v/>
      </c>
    </row>
    <row r="480" spans="1:16" x14ac:dyDescent="0.25">
      <c r="A480" t="s">
        <v>806</v>
      </c>
      <c r="B480">
        <v>707</v>
      </c>
      <c r="C480" t="s">
        <v>807</v>
      </c>
      <c r="D480">
        <v>93.29</v>
      </c>
      <c r="F480">
        <v>0</v>
      </c>
      <c r="H480">
        <v>0</v>
      </c>
      <c r="J480">
        <v>93.29</v>
      </c>
      <c r="L480" s="1">
        <f t="shared" si="7"/>
        <v>93.29</v>
      </c>
      <c r="N480" s="6" t="str">
        <f>IF(ISERROR(VLOOKUP($A480,'Plano de Contas'!#REF!,8,FALSE)),"",VLOOKUP($A480,'Plano de Contas'!#REF!,8,FALSE))</f>
        <v/>
      </c>
      <c r="P480" s="6" t="str">
        <f>IF(ISERROR(VLOOKUP($A480,'Plano de Contas'!#REF!,10,FALSE)),"",VLOOKUP($A480,'Plano de Contas'!#REF!,10,FALSE))</f>
        <v/>
      </c>
    </row>
    <row r="481" spans="1:16" x14ac:dyDescent="0.25">
      <c r="A481" t="s">
        <v>808</v>
      </c>
      <c r="B481">
        <v>708</v>
      </c>
      <c r="C481" t="s">
        <v>809</v>
      </c>
      <c r="D481" s="10">
        <v>358082.73</v>
      </c>
      <c r="F481" s="10">
        <v>34686.71</v>
      </c>
      <c r="H481">
        <v>0</v>
      </c>
      <c r="J481" s="10">
        <v>392769.44</v>
      </c>
      <c r="L481" s="1">
        <f t="shared" si="7"/>
        <v>392769.44</v>
      </c>
      <c r="N481" s="6" t="str">
        <f>IF(ISERROR(VLOOKUP($A481,'Plano de Contas'!#REF!,8,FALSE)),"",VLOOKUP($A481,'Plano de Contas'!#REF!,8,FALSE))</f>
        <v/>
      </c>
      <c r="P481" s="6" t="str">
        <f>IF(ISERROR(VLOOKUP($A481,'Plano de Contas'!#REF!,10,FALSE)),"",VLOOKUP($A481,'Plano de Contas'!#REF!,10,FALSE))</f>
        <v/>
      </c>
    </row>
    <row r="482" spans="1:16" x14ac:dyDescent="0.25">
      <c r="A482" t="s">
        <v>810</v>
      </c>
      <c r="B482">
        <v>709</v>
      </c>
      <c r="C482" t="s">
        <v>811</v>
      </c>
      <c r="D482" s="10">
        <v>69187.23</v>
      </c>
      <c r="F482" s="10">
        <v>7039.69</v>
      </c>
      <c r="H482">
        <v>0</v>
      </c>
      <c r="J482" s="10">
        <v>76226.92</v>
      </c>
      <c r="L482" s="1">
        <f t="shared" si="7"/>
        <v>76226.92</v>
      </c>
      <c r="N482" s="6" t="str">
        <f>IF(ISERROR(VLOOKUP($A482,'Plano de Contas'!#REF!,8,FALSE)),"",VLOOKUP($A482,'Plano de Contas'!#REF!,8,FALSE))</f>
        <v/>
      </c>
      <c r="P482" s="6" t="str">
        <f>IF(ISERROR(VLOOKUP($A482,'Plano de Contas'!#REF!,10,FALSE)),"",VLOOKUP($A482,'Plano de Contas'!#REF!,10,FALSE))</f>
        <v/>
      </c>
    </row>
    <row r="483" spans="1:16" x14ac:dyDescent="0.25">
      <c r="A483" t="s">
        <v>812</v>
      </c>
      <c r="B483">
        <v>710</v>
      </c>
      <c r="C483" t="s">
        <v>813</v>
      </c>
      <c r="D483" s="10">
        <v>1159624.32</v>
      </c>
      <c r="F483" s="10">
        <v>116247.4</v>
      </c>
      <c r="H483">
        <v>0</v>
      </c>
      <c r="J483" s="10">
        <v>1275871.72</v>
      </c>
      <c r="L483" s="1">
        <f t="shared" si="7"/>
        <v>1275871.72</v>
      </c>
      <c r="N483" s="6" t="str">
        <f>IF(ISERROR(VLOOKUP($A483,'Plano de Contas'!#REF!,8,FALSE)),"",VLOOKUP($A483,'Plano de Contas'!#REF!,8,FALSE))</f>
        <v/>
      </c>
      <c r="P483" s="6" t="str">
        <f>IF(ISERROR(VLOOKUP($A483,'Plano de Contas'!#REF!,10,FALSE)),"",VLOOKUP($A483,'Plano de Contas'!#REF!,10,FALSE))</f>
        <v/>
      </c>
    </row>
    <row r="484" spans="1:16" x14ac:dyDescent="0.25">
      <c r="A484" t="s">
        <v>814</v>
      </c>
      <c r="B484">
        <v>711</v>
      </c>
      <c r="C484" t="s">
        <v>815</v>
      </c>
      <c r="D484" s="10">
        <v>36219.480000000003</v>
      </c>
      <c r="F484" s="10">
        <v>1196</v>
      </c>
      <c r="H484">
        <v>0</v>
      </c>
      <c r="J484" s="10">
        <v>37415.480000000003</v>
      </c>
      <c r="L484" s="1">
        <f t="shared" si="7"/>
        <v>37415.480000000003</v>
      </c>
      <c r="N484" s="6" t="str">
        <f>IF(ISERROR(VLOOKUP($A484,'Plano de Contas'!#REF!,8,FALSE)),"",VLOOKUP($A484,'Plano de Contas'!#REF!,8,FALSE))</f>
        <v/>
      </c>
      <c r="P484" s="6" t="str">
        <f>IF(ISERROR(VLOOKUP($A484,'Plano de Contas'!#REF!,10,FALSE)),"",VLOOKUP($A484,'Plano de Contas'!#REF!,10,FALSE))</f>
        <v/>
      </c>
    </row>
    <row r="485" spans="1:16" x14ac:dyDescent="0.25">
      <c r="A485" t="s">
        <v>816</v>
      </c>
      <c r="B485">
        <v>712</v>
      </c>
      <c r="C485" t="s">
        <v>817</v>
      </c>
      <c r="D485" s="10">
        <v>39161.17</v>
      </c>
      <c r="F485" s="10">
        <v>3584.96</v>
      </c>
      <c r="H485">
        <v>0</v>
      </c>
      <c r="J485" s="10">
        <v>42746.13</v>
      </c>
      <c r="L485" s="1">
        <f t="shared" si="7"/>
        <v>42746.13</v>
      </c>
      <c r="N485" s="6" t="str">
        <f>IF(ISERROR(VLOOKUP($A485,'Plano de Contas'!#REF!,8,FALSE)),"",VLOOKUP($A485,'Plano de Contas'!#REF!,8,FALSE))</f>
        <v/>
      </c>
      <c r="P485" s="6" t="str">
        <f>IF(ISERROR(VLOOKUP($A485,'Plano de Contas'!#REF!,10,FALSE)),"",VLOOKUP($A485,'Plano de Contas'!#REF!,10,FALSE))</f>
        <v/>
      </c>
    </row>
    <row r="486" spans="1:16" x14ac:dyDescent="0.25">
      <c r="A486" t="s">
        <v>818</v>
      </c>
      <c r="B486">
        <v>713</v>
      </c>
      <c r="C486" t="s">
        <v>819</v>
      </c>
      <c r="D486" s="10">
        <v>5240.67</v>
      </c>
      <c r="F486">
        <v>0</v>
      </c>
      <c r="H486">
        <v>0</v>
      </c>
      <c r="J486" s="10">
        <v>5240.67</v>
      </c>
      <c r="L486" s="1">
        <f t="shared" si="7"/>
        <v>5240.67</v>
      </c>
      <c r="N486" s="6" t="str">
        <f>IF(ISERROR(VLOOKUP($A486,'Plano de Contas'!#REF!,8,FALSE)),"",VLOOKUP($A486,'Plano de Contas'!#REF!,8,FALSE))</f>
        <v/>
      </c>
      <c r="P486" s="6" t="str">
        <f>IF(ISERROR(VLOOKUP($A486,'Plano de Contas'!#REF!,10,FALSE)),"",VLOOKUP($A486,'Plano de Contas'!#REF!,10,FALSE))</f>
        <v/>
      </c>
    </row>
    <row r="487" spans="1:16" x14ac:dyDescent="0.25">
      <c r="A487" t="s">
        <v>820</v>
      </c>
      <c r="B487">
        <v>829</v>
      </c>
      <c r="C487" t="s">
        <v>821</v>
      </c>
      <c r="D487" s="10">
        <v>41546.47</v>
      </c>
      <c r="F487" s="10">
        <v>4480</v>
      </c>
      <c r="H487">
        <v>0</v>
      </c>
      <c r="J487" s="10">
        <v>46026.47</v>
      </c>
      <c r="L487" s="1">
        <f t="shared" si="7"/>
        <v>46026.47</v>
      </c>
      <c r="N487" s="6" t="str">
        <f>IF(ISERROR(VLOOKUP($A487,'Plano de Contas'!#REF!,8,FALSE)),"",VLOOKUP($A487,'Plano de Contas'!#REF!,8,FALSE))</f>
        <v/>
      </c>
      <c r="P487" s="6" t="str">
        <f>IF(ISERROR(VLOOKUP($A487,'Plano de Contas'!#REF!,10,FALSE)),"",VLOOKUP($A487,'Plano de Contas'!#REF!,10,FALSE))</f>
        <v/>
      </c>
    </row>
    <row r="488" spans="1:16" x14ac:dyDescent="0.25">
      <c r="A488" t="s">
        <v>822</v>
      </c>
      <c r="B488">
        <v>926</v>
      </c>
      <c r="C488" t="s">
        <v>823</v>
      </c>
      <c r="D488" s="10">
        <v>45883.5</v>
      </c>
      <c r="F488">
        <v>0</v>
      </c>
      <c r="H488">
        <v>0</v>
      </c>
      <c r="J488" s="10">
        <v>45883.5</v>
      </c>
      <c r="L488" s="1">
        <f t="shared" si="7"/>
        <v>45883.5</v>
      </c>
      <c r="N488" s="6" t="str">
        <f>IF(ISERROR(VLOOKUP($A488,'Plano de Contas'!#REF!,8,FALSE)),"",VLOOKUP($A488,'Plano de Contas'!#REF!,8,FALSE))</f>
        <v/>
      </c>
      <c r="P488" s="6" t="str">
        <f>IF(ISERROR(VLOOKUP($A488,'Plano de Contas'!#REF!,10,FALSE)),"",VLOOKUP($A488,'Plano de Contas'!#REF!,10,FALSE))</f>
        <v/>
      </c>
    </row>
    <row r="489" spans="1:16" x14ac:dyDescent="0.25">
      <c r="A489" t="s">
        <v>824</v>
      </c>
      <c r="B489">
        <v>929</v>
      </c>
      <c r="C489" t="s">
        <v>825</v>
      </c>
      <c r="D489" s="10">
        <v>105614.17</v>
      </c>
      <c r="F489">
        <v>0</v>
      </c>
      <c r="H489">
        <v>0</v>
      </c>
      <c r="J489" s="10">
        <v>105614.17</v>
      </c>
      <c r="L489" s="1">
        <f t="shared" si="7"/>
        <v>105614.17</v>
      </c>
      <c r="N489" s="6" t="str">
        <f>IF(ISERROR(VLOOKUP($A489,'Plano de Contas'!#REF!,8,FALSE)),"",VLOOKUP($A489,'Plano de Contas'!#REF!,8,FALSE))</f>
        <v/>
      </c>
      <c r="P489" s="6" t="str">
        <f>IF(ISERROR(VLOOKUP($A489,'Plano de Contas'!#REF!,10,FALSE)),"",VLOOKUP($A489,'Plano de Contas'!#REF!,10,FALSE))</f>
        <v/>
      </c>
    </row>
    <row r="490" spans="1:16" x14ac:dyDescent="0.25">
      <c r="L490" s="1">
        <f t="shared" si="7"/>
        <v>0</v>
      </c>
      <c r="N490" s="6" t="str">
        <f>IF(ISERROR(VLOOKUP($A490,'Plano de Contas'!#REF!,8,FALSE)),"",VLOOKUP($A490,'Plano de Contas'!#REF!,8,FALSE))</f>
        <v/>
      </c>
      <c r="P490" s="6" t="str">
        <f>IF(ISERROR(VLOOKUP($A490,'Plano de Contas'!#REF!,10,FALSE)),"",VLOOKUP($A490,'Plano de Contas'!#REF!,10,FALSE))</f>
        <v/>
      </c>
    </row>
    <row r="491" spans="1:16" x14ac:dyDescent="0.25">
      <c r="A491" t="s">
        <v>826</v>
      </c>
      <c r="B491">
        <v>237</v>
      </c>
      <c r="C491" t="s">
        <v>827</v>
      </c>
      <c r="D491" s="10">
        <v>50655549.640000001</v>
      </c>
      <c r="F491" s="10">
        <v>5059287.7</v>
      </c>
      <c r="H491" s="10">
        <v>21178.52</v>
      </c>
      <c r="I491" t="s">
        <v>35</v>
      </c>
      <c r="J491" s="10">
        <v>55693658.82</v>
      </c>
      <c r="L491" s="1">
        <f t="shared" si="7"/>
        <v>55693658.82</v>
      </c>
      <c r="N491" s="6" t="str">
        <f>IF(ISERROR(VLOOKUP($A491,'Plano de Contas'!#REF!,8,FALSE)),"",VLOOKUP($A491,'Plano de Contas'!#REF!,8,FALSE))</f>
        <v/>
      </c>
      <c r="P491" s="6" t="str">
        <f>IF(ISERROR(VLOOKUP($A491,'Plano de Contas'!#REF!,10,FALSE)),"",VLOOKUP($A491,'Plano de Contas'!#REF!,10,FALSE))</f>
        <v/>
      </c>
    </row>
    <row r="492" spans="1:16" x14ac:dyDescent="0.25">
      <c r="A492" t="s">
        <v>828</v>
      </c>
      <c r="B492">
        <v>238</v>
      </c>
      <c r="C492" t="s">
        <v>829</v>
      </c>
      <c r="D492" s="10">
        <v>2299513.12</v>
      </c>
      <c r="F492" s="10">
        <v>225658.83</v>
      </c>
      <c r="H492">
        <v>0</v>
      </c>
      <c r="J492" s="10">
        <v>2525171.9500000002</v>
      </c>
      <c r="L492" s="1">
        <f t="shared" si="7"/>
        <v>2525171.9500000002</v>
      </c>
      <c r="N492" s="6" t="str">
        <f>IF(ISERROR(VLOOKUP($A492,'Plano de Contas'!#REF!,8,FALSE)),"",VLOOKUP($A492,'Plano de Contas'!#REF!,8,FALSE))</f>
        <v/>
      </c>
      <c r="P492" s="6" t="str">
        <f>IF(ISERROR(VLOOKUP($A492,'Plano de Contas'!#REF!,10,FALSE)),"",VLOOKUP($A492,'Plano de Contas'!#REF!,10,FALSE))</f>
        <v/>
      </c>
    </row>
    <row r="493" spans="1:16" x14ac:dyDescent="0.25">
      <c r="A493" t="s">
        <v>830</v>
      </c>
      <c r="B493">
        <v>239</v>
      </c>
      <c r="C493" t="s">
        <v>831</v>
      </c>
      <c r="D493" s="10">
        <v>898291.87</v>
      </c>
      <c r="F493" s="10">
        <v>91111.97</v>
      </c>
      <c r="H493">
        <v>0</v>
      </c>
      <c r="J493" s="10">
        <v>989403.84</v>
      </c>
      <c r="L493" s="1">
        <f t="shared" si="7"/>
        <v>989403.84</v>
      </c>
      <c r="N493" s="6" t="str">
        <f>IF(ISERROR(VLOOKUP($A493,'Plano de Contas'!#REF!,8,FALSE)),"",VLOOKUP($A493,'Plano de Contas'!#REF!,8,FALSE))</f>
        <v/>
      </c>
      <c r="P493" s="6" t="str">
        <f>IF(ISERROR(VLOOKUP($A493,'Plano de Contas'!#REF!,10,FALSE)),"",VLOOKUP($A493,'Plano de Contas'!#REF!,10,FALSE))</f>
        <v/>
      </c>
    </row>
    <row r="494" spans="1:16" x14ac:dyDescent="0.25">
      <c r="A494" t="s">
        <v>832</v>
      </c>
      <c r="B494">
        <v>240</v>
      </c>
      <c r="C494" t="s">
        <v>833</v>
      </c>
      <c r="D494" s="10">
        <v>442976.97</v>
      </c>
      <c r="F494" s="10">
        <v>55390.09</v>
      </c>
      <c r="H494">
        <v>311.7</v>
      </c>
      <c r="I494" t="s">
        <v>35</v>
      </c>
      <c r="J494" s="10">
        <v>498055.36</v>
      </c>
      <c r="L494" s="1">
        <f t="shared" si="7"/>
        <v>498055.36</v>
      </c>
      <c r="N494" s="6" t="str">
        <f>IF(ISERROR(VLOOKUP($A494,'Plano de Contas'!#REF!,8,FALSE)),"",VLOOKUP($A494,'Plano de Contas'!#REF!,8,FALSE))</f>
        <v/>
      </c>
      <c r="P494" s="6" t="str">
        <f>IF(ISERROR(VLOOKUP($A494,'Plano de Contas'!#REF!,10,FALSE)),"",VLOOKUP($A494,'Plano de Contas'!#REF!,10,FALSE))</f>
        <v/>
      </c>
    </row>
    <row r="495" spans="1:16" x14ac:dyDescent="0.25">
      <c r="A495" t="s">
        <v>834</v>
      </c>
      <c r="B495">
        <v>242</v>
      </c>
      <c r="C495" t="s">
        <v>835</v>
      </c>
      <c r="D495" s="10">
        <v>951026.09</v>
      </c>
      <c r="F495" s="10">
        <v>38929.94</v>
      </c>
      <c r="H495" s="10">
        <v>-8478.85</v>
      </c>
      <c r="J495" s="10">
        <v>981477.18</v>
      </c>
      <c r="L495" s="1">
        <f t="shared" si="7"/>
        <v>981477.18</v>
      </c>
      <c r="N495" s="6" t="str">
        <f>IF(ISERROR(VLOOKUP($A495,'Plano de Contas'!#REF!,8,FALSE)),"",VLOOKUP($A495,'Plano de Contas'!#REF!,8,FALSE))</f>
        <v/>
      </c>
      <c r="P495" s="6" t="str">
        <f>IF(ISERROR(VLOOKUP($A495,'Plano de Contas'!#REF!,10,FALSE)),"",VLOOKUP($A495,'Plano de Contas'!#REF!,10,FALSE))</f>
        <v/>
      </c>
    </row>
    <row r="496" spans="1:16" x14ac:dyDescent="0.25">
      <c r="A496" t="s">
        <v>836</v>
      </c>
      <c r="B496">
        <v>243</v>
      </c>
      <c r="C496" t="s">
        <v>837</v>
      </c>
      <c r="D496" s="10">
        <v>1736212.92</v>
      </c>
      <c r="F496" s="10">
        <v>163433.43</v>
      </c>
      <c r="H496">
        <v>0</v>
      </c>
      <c r="J496" s="10">
        <v>1899646.35</v>
      </c>
      <c r="L496" s="1">
        <f t="shared" si="7"/>
        <v>1899646.35</v>
      </c>
      <c r="N496" s="6" t="str">
        <f>IF(ISERROR(VLOOKUP($A496,'Plano de Contas'!#REF!,8,FALSE)),"",VLOOKUP($A496,'Plano de Contas'!#REF!,8,FALSE))</f>
        <v/>
      </c>
      <c r="P496" s="6" t="str">
        <f>IF(ISERROR(VLOOKUP($A496,'Plano de Contas'!#REF!,10,FALSE)),"",VLOOKUP($A496,'Plano de Contas'!#REF!,10,FALSE))</f>
        <v/>
      </c>
    </row>
    <row r="497" spans="1:16" x14ac:dyDescent="0.25">
      <c r="A497" t="s">
        <v>838</v>
      </c>
      <c r="B497">
        <v>244</v>
      </c>
      <c r="C497" t="s">
        <v>839</v>
      </c>
      <c r="D497" s="10">
        <v>46012.43</v>
      </c>
      <c r="F497" s="10">
        <v>5025.3</v>
      </c>
      <c r="H497">
        <v>0</v>
      </c>
      <c r="J497" s="10">
        <v>51037.73</v>
      </c>
      <c r="L497" s="1">
        <f t="shared" si="7"/>
        <v>51037.73</v>
      </c>
      <c r="N497" s="6" t="str">
        <f>IF(ISERROR(VLOOKUP($A497,'Plano de Contas'!#REF!,8,FALSE)),"",VLOOKUP($A497,'Plano de Contas'!#REF!,8,FALSE))</f>
        <v/>
      </c>
      <c r="P497" s="6" t="str">
        <f>IF(ISERROR(VLOOKUP($A497,'Plano de Contas'!#REF!,10,FALSE)),"",VLOOKUP($A497,'Plano de Contas'!#REF!,10,FALSE))</f>
        <v/>
      </c>
    </row>
    <row r="498" spans="1:16" x14ac:dyDescent="0.25">
      <c r="A498" t="s">
        <v>840</v>
      </c>
      <c r="B498">
        <v>245</v>
      </c>
      <c r="C498" t="s">
        <v>841</v>
      </c>
      <c r="D498" s="10">
        <v>144228.04</v>
      </c>
      <c r="F498" s="10">
        <v>14289.75</v>
      </c>
      <c r="H498">
        <v>0</v>
      </c>
      <c r="J498" s="10">
        <v>158517.79</v>
      </c>
      <c r="L498" s="1">
        <f t="shared" si="7"/>
        <v>158517.79</v>
      </c>
      <c r="N498" s="6" t="str">
        <f>IF(ISERROR(VLOOKUP($A498,'Plano de Contas'!#REF!,8,FALSE)),"",VLOOKUP($A498,'Plano de Contas'!#REF!,8,FALSE))</f>
        <v/>
      </c>
      <c r="P498" s="6" t="str">
        <f>IF(ISERROR(VLOOKUP($A498,'Plano de Contas'!#REF!,10,FALSE)),"",VLOOKUP($A498,'Plano de Contas'!#REF!,10,FALSE))</f>
        <v/>
      </c>
    </row>
    <row r="499" spans="1:16" x14ac:dyDescent="0.25">
      <c r="A499" t="s">
        <v>842</v>
      </c>
      <c r="B499">
        <v>246</v>
      </c>
      <c r="C499" t="s">
        <v>843</v>
      </c>
      <c r="D499" s="10">
        <v>36646.379999999997</v>
      </c>
      <c r="F499" s="10">
        <v>5826.41</v>
      </c>
      <c r="H499">
        <v>0</v>
      </c>
      <c r="J499" s="10">
        <v>42472.79</v>
      </c>
      <c r="L499" s="1">
        <f t="shared" si="7"/>
        <v>42472.79</v>
      </c>
      <c r="N499" s="6" t="str">
        <f>IF(ISERROR(VLOOKUP($A499,'Plano de Contas'!#REF!,8,FALSE)),"",VLOOKUP($A499,'Plano de Contas'!#REF!,8,FALSE))</f>
        <v/>
      </c>
      <c r="P499" s="6" t="str">
        <f>IF(ISERROR(VLOOKUP($A499,'Plano de Contas'!#REF!,10,FALSE)),"",VLOOKUP($A499,'Plano de Contas'!#REF!,10,FALSE))</f>
        <v/>
      </c>
    </row>
    <row r="500" spans="1:16" x14ac:dyDescent="0.25">
      <c r="A500" t="s">
        <v>844</v>
      </c>
      <c r="B500">
        <v>247</v>
      </c>
      <c r="C500" t="s">
        <v>845</v>
      </c>
      <c r="D500" s="10">
        <v>4764.96</v>
      </c>
      <c r="F500">
        <v>531.29999999999995</v>
      </c>
      <c r="H500">
        <v>0</v>
      </c>
      <c r="J500" s="10">
        <v>5296.26</v>
      </c>
      <c r="L500" s="1">
        <f t="shared" si="7"/>
        <v>5296.26</v>
      </c>
      <c r="N500" s="6" t="str">
        <f>IF(ISERROR(VLOOKUP($A500,'Plano de Contas'!#REF!,8,FALSE)),"",VLOOKUP($A500,'Plano de Contas'!#REF!,8,FALSE))</f>
        <v/>
      </c>
      <c r="P500" s="6" t="str">
        <f>IF(ISERROR(VLOOKUP($A500,'Plano de Contas'!#REF!,10,FALSE)),"",VLOOKUP($A500,'Plano de Contas'!#REF!,10,FALSE))</f>
        <v/>
      </c>
    </row>
    <row r="501" spans="1:16" x14ac:dyDescent="0.25">
      <c r="A501" t="s">
        <v>846</v>
      </c>
      <c r="B501">
        <v>248</v>
      </c>
      <c r="C501" t="s">
        <v>847</v>
      </c>
      <c r="D501" s="10">
        <v>45143.28</v>
      </c>
      <c r="F501" s="10">
        <v>1083.7</v>
      </c>
      <c r="H501">
        <v>0</v>
      </c>
      <c r="J501" s="10">
        <v>46226.98</v>
      </c>
      <c r="L501" s="1">
        <f t="shared" si="7"/>
        <v>46226.98</v>
      </c>
      <c r="N501" s="6" t="str">
        <f>IF(ISERROR(VLOOKUP($A501,'Plano de Contas'!#REF!,8,FALSE)),"",VLOOKUP($A501,'Plano de Contas'!#REF!,8,FALSE))</f>
        <v/>
      </c>
      <c r="P501" s="6" t="str">
        <f>IF(ISERROR(VLOOKUP($A501,'Plano de Contas'!#REF!,10,FALSE)),"",VLOOKUP($A501,'Plano de Contas'!#REF!,10,FALSE))</f>
        <v/>
      </c>
    </row>
    <row r="502" spans="1:16" x14ac:dyDescent="0.25">
      <c r="A502" t="s">
        <v>848</v>
      </c>
      <c r="B502">
        <v>249</v>
      </c>
      <c r="C502" t="s">
        <v>849</v>
      </c>
      <c r="D502" s="10">
        <v>52224.21</v>
      </c>
      <c r="F502" s="10">
        <v>3723.93</v>
      </c>
      <c r="H502">
        <v>0</v>
      </c>
      <c r="J502" s="10">
        <v>55948.14</v>
      </c>
      <c r="L502" s="1">
        <f t="shared" si="7"/>
        <v>55948.14</v>
      </c>
      <c r="N502" s="6" t="str">
        <f>IF(ISERROR(VLOOKUP($A502,'Plano de Contas'!#REF!,8,FALSE)),"",VLOOKUP($A502,'Plano de Contas'!#REF!,8,FALSE))</f>
        <v/>
      </c>
      <c r="P502" s="6" t="str">
        <f>IF(ISERROR(VLOOKUP($A502,'Plano de Contas'!#REF!,10,FALSE)),"",VLOOKUP($A502,'Plano de Contas'!#REF!,10,FALSE))</f>
        <v/>
      </c>
    </row>
    <row r="503" spans="1:16" x14ac:dyDescent="0.25">
      <c r="A503" t="s">
        <v>850</v>
      </c>
      <c r="B503">
        <v>250</v>
      </c>
      <c r="C503" t="s">
        <v>851</v>
      </c>
      <c r="D503" s="10">
        <v>456839.43</v>
      </c>
      <c r="F503" s="10">
        <v>38888.97</v>
      </c>
      <c r="H503">
        <v>0</v>
      </c>
      <c r="J503" s="10">
        <v>495728.4</v>
      </c>
      <c r="L503" s="1">
        <f t="shared" si="7"/>
        <v>495728.4</v>
      </c>
      <c r="N503" s="6" t="str">
        <f>IF(ISERROR(VLOOKUP($A503,'Plano de Contas'!#REF!,8,FALSE)),"",VLOOKUP($A503,'Plano de Contas'!#REF!,8,FALSE))</f>
        <v/>
      </c>
      <c r="P503" s="6" t="str">
        <f>IF(ISERROR(VLOOKUP($A503,'Plano de Contas'!#REF!,10,FALSE)),"",VLOOKUP($A503,'Plano de Contas'!#REF!,10,FALSE))</f>
        <v/>
      </c>
    </row>
    <row r="504" spans="1:16" x14ac:dyDescent="0.25">
      <c r="A504" t="s">
        <v>852</v>
      </c>
      <c r="B504">
        <v>251</v>
      </c>
      <c r="C504" t="s">
        <v>853</v>
      </c>
      <c r="D504" s="10">
        <v>18371.11</v>
      </c>
      <c r="F504">
        <v>0</v>
      </c>
      <c r="H504">
        <v>0</v>
      </c>
      <c r="J504" s="10">
        <v>18371.11</v>
      </c>
      <c r="L504" s="1">
        <f t="shared" si="7"/>
        <v>18371.11</v>
      </c>
      <c r="N504" s="6" t="str">
        <f>IF(ISERROR(VLOOKUP($A504,'Plano de Contas'!#REF!,8,FALSE)),"",VLOOKUP($A504,'Plano de Contas'!#REF!,8,FALSE))</f>
        <v/>
      </c>
      <c r="P504" s="6" t="str">
        <f>IF(ISERROR(VLOOKUP($A504,'Plano de Contas'!#REF!,10,FALSE)),"",VLOOKUP($A504,'Plano de Contas'!#REF!,10,FALSE))</f>
        <v/>
      </c>
    </row>
    <row r="505" spans="1:16" x14ac:dyDescent="0.25">
      <c r="A505" t="s">
        <v>854</v>
      </c>
      <c r="B505">
        <v>252</v>
      </c>
      <c r="C505" t="s">
        <v>855</v>
      </c>
      <c r="D505">
        <v>918.5</v>
      </c>
      <c r="F505">
        <v>0</v>
      </c>
      <c r="H505">
        <v>0</v>
      </c>
      <c r="J505">
        <v>918.5</v>
      </c>
      <c r="L505" s="1">
        <f t="shared" si="7"/>
        <v>918.5</v>
      </c>
      <c r="N505" s="6" t="str">
        <f>IF(ISERROR(VLOOKUP($A505,'Plano de Contas'!#REF!,8,FALSE)),"",VLOOKUP($A505,'Plano de Contas'!#REF!,8,FALSE))</f>
        <v/>
      </c>
      <c r="P505" s="6" t="str">
        <f>IF(ISERROR(VLOOKUP($A505,'Plano de Contas'!#REF!,10,FALSE)),"",VLOOKUP($A505,'Plano de Contas'!#REF!,10,FALSE))</f>
        <v/>
      </c>
    </row>
    <row r="506" spans="1:16" x14ac:dyDescent="0.25">
      <c r="A506" t="s">
        <v>856</v>
      </c>
      <c r="B506">
        <v>253</v>
      </c>
      <c r="C506" t="s">
        <v>857</v>
      </c>
      <c r="D506" s="10">
        <v>406272.6</v>
      </c>
      <c r="F506" s="10">
        <v>31535</v>
      </c>
      <c r="H506">
        <v>0</v>
      </c>
      <c r="J506" s="10">
        <v>437807.6</v>
      </c>
      <c r="L506" s="1">
        <f t="shared" si="7"/>
        <v>437807.6</v>
      </c>
      <c r="N506" s="6" t="str">
        <f>IF(ISERROR(VLOOKUP($A506,'Plano de Contas'!#REF!,8,FALSE)),"",VLOOKUP($A506,'Plano de Contas'!#REF!,8,FALSE))</f>
        <v/>
      </c>
      <c r="P506" s="6" t="str">
        <f>IF(ISERROR(VLOOKUP($A506,'Plano de Contas'!#REF!,10,FALSE)),"",VLOOKUP($A506,'Plano de Contas'!#REF!,10,FALSE))</f>
        <v/>
      </c>
    </row>
    <row r="507" spans="1:16" x14ac:dyDescent="0.25">
      <c r="A507" t="s">
        <v>858</v>
      </c>
      <c r="B507">
        <v>254</v>
      </c>
      <c r="C507" t="s">
        <v>859</v>
      </c>
      <c r="D507" s="10">
        <v>12659353.57</v>
      </c>
      <c r="F507" s="10">
        <v>1780253.89</v>
      </c>
      <c r="H507">
        <v>0</v>
      </c>
      <c r="J507" s="10">
        <v>14439607.460000001</v>
      </c>
      <c r="L507" s="1">
        <f t="shared" si="7"/>
        <v>14439607.460000001</v>
      </c>
      <c r="N507" s="6" t="str">
        <f>IF(ISERROR(VLOOKUP($A507,'Plano de Contas'!#REF!,8,FALSE)),"",VLOOKUP($A507,'Plano de Contas'!#REF!,8,FALSE))</f>
        <v/>
      </c>
      <c r="P507" s="6" t="str">
        <f>IF(ISERROR(VLOOKUP($A507,'Plano de Contas'!#REF!,10,FALSE)),"",VLOOKUP($A507,'Plano de Contas'!#REF!,10,FALSE))</f>
        <v/>
      </c>
    </row>
    <row r="508" spans="1:16" x14ac:dyDescent="0.25">
      <c r="A508" t="s">
        <v>860</v>
      </c>
      <c r="B508">
        <v>255</v>
      </c>
      <c r="C508" t="s">
        <v>861</v>
      </c>
      <c r="D508" s="10">
        <v>2913176.13</v>
      </c>
      <c r="F508" s="10">
        <v>80952.42</v>
      </c>
      <c r="H508">
        <v>0</v>
      </c>
      <c r="J508" s="10">
        <v>2994128.55</v>
      </c>
      <c r="L508" s="1">
        <f t="shared" si="7"/>
        <v>2994128.55</v>
      </c>
      <c r="N508" s="6" t="str">
        <f>IF(ISERROR(VLOOKUP($A508,'Plano de Contas'!#REF!,8,FALSE)),"",VLOOKUP($A508,'Plano de Contas'!#REF!,8,FALSE))</f>
        <v/>
      </c>
      <c r="P508" s="6" t="str">
        <f>IF(ISERROR(VLOOKUP($A508,'Plano de Contas'!#REF!,10,FALSE)),"",VLOOKUP($A508,'Plano de Contas'!#REF!,10,FALSE))</f>
        <v/>
      </c>
    </row>
    <row r="509" spans="1:16" x14ac:dyDescent="0.25">
      <c r="A509" t="s">
        <v>862</v>
      </c>
      <c r="B509">
        <v>256</v>
      </c>
      <c r="C509" t="s">
        <v>863</v>
      </c>
      <c r="D509" s="10">
        <v>4098278.26</v>
      </c>
      <c r="F509" s="10">
        <v>217087.8</v>
      </c>
      <c r="H509">
        <v>-503.3</v>
      </c>
      <c r="J509" s="10">
        <v>4314862.76</v>
      </c>
      <c r="L509" s="1">
        <f t="shared" si="7"/>
        <v>4314862.76</v>
      </c>
      <c r="N509" s="6" t="str">
        <f>IF(ISERROR(VLOOKUP($A509,'Plano de Contas'!#REF!,8,FALSE)),"",VLOOKUP($A509,'Plano de Contas'!#REF!,8,FALSE))</f>
        <v/>
      </c>
      <c r="P509" s="6" t="str">
        <f>IF(ISERROR(VLOOKUP($A509,'Plano de Contas'!#REF!,10,FALSE)),"",VLOOKUP($A509,'Plano de Contas'!#REF!,10,FALSE))</f>
        <v/>
      </c>
    </row>
    <row r="510" spans="1:16" x14ac:dyDescent="0.25">
      <c r="A510" t="s">
        <v>864</v>
      </c>
      <c r="B510">
        <v>257</v>
      </c>
      <c r="C510" t="s">
        <v>865</v>
      </c>
      <c r="D510" s="10">
        <v>2637369.1</v>
      </c>
      <c r="F510" s="10">
        <v>257013.55</v>
      </c>
      <c r="H510">
        <v>0</v>
      </c>
      <c r="J510" s="10">
        <v>2894382.65</v>
      </c>
      <c r="L510" s="1">
        <f t="shared" si="7"/>
        <v>2894382.65</v>
      </c>
      <c r="N510" s="6" t="str">
        <f>IF(ISERROR(VLOOKUP($A510,'Plano de Contas'!#REF!,8,FALSE)),"",VLOOKUP($A510,'Plano de Contas'!#REF!,8,FALSE))</f>
        <v/>
      </c>
      <c r="P510" s="6" t="str">
        <f>IF(ISERROR(VLOOKUP($A510,'Plano de Contas'!#REF!,10,FALSE)),"",VLOOKUP($A510,'Plano de Contas'!#REF!,10,FALSE))</f>
        <v/>
      </c>
    </row>
    <row r="511" spans="1:16" x14ac:dyDescent="0.25">
      <c r="A511" t="s">
        <v>866</v>
      </c>
      <c r="B511">
        <v>258</v>
      </c>
      <c r="C511" t="s">
        <v>867</v>
      </c>
      <c r="D511" s="10">
        <v>15514839.75</v>
      </c>
      <c r="F511" s="10">
        <v>1412889.63</v>
      </c>
      <c r="H511">
        <v>0</v>
      </c>
      <c r="J511" s="10">
        <v>16927729.379999999</v>
      </c>
      <c r="L511" s="1">
        <f t="shared" si="7"/>
        <v>16927729.379999999</v>
      </c>
      <c r="N511" s="6" t="str">
        <f>IF(ISERROR(VLOOKUP($A511,'Plano de Contas'!#REF!,8,FALSE)),"",VLOOKUP($A511,'Plano de Contas'!#REF!,8,FALSE))</f>
        <v/>
      </c>
      <c r="P511" s="6" t="str">
        <f>IF(ISERROR(VLOOKUP($A511,'Plano de Contas'!#REF!,10,FALSE)),"",VLOOKUP($A511,'Plano de Contas'!#REF!,10,FALSE))</f>
        <v/>
      </c>
    </row>
    <row r="512" spans="1:16" x14ac:dyDescent="0.25">
      <c r="A512" t="s">
        <v>868</v>
      </c>
      <c r="B512">
        <v>259</v>
      </c>
      <c r="C512" t="s">
        <v>869</v>
      </c>
      <c r="D512" s="10">
        <v>9081.56</v>
      </c>
      <c r="F512">
        <v>0</v>
      </c>
      <c r="H512">
        <v>0</v>
      </c>
      <c r="J512" s="10">
        <v>9081.56</v>
      </c>
      <c r="L512" s="1">
        <f t="shared" si="7"/>
        <v>9081.56</v>
      </c>
      <c r="N512" s="6" t="str">
        <f>IF(ISERROR(VLOOKUP($A512,'Plano de Contas'!#REF!,8,FALSE)),"",VLOOKUP($A512,'Plano de Contas'!#REF!,8,FALSE))</f>
        <v/>
      </c>
      <c r="P512" s="6" t="str">
        <f>IF(ISERROR(VLOOKUP($A512,'Plano de Contas'!#REF!,10,FALSE)),"",VLOOKUP($A512,'Plano de Contas'!#REF!,10,FALSE))</f>
        <v/>
      </c>
    </row>
    <row r="513" spans="1:16" x14ac:dyDescent="0.25">
      <c r="A513" t="s">
        <v>870</v>
      </c>
      <c r="B513">
        <v>260</v>
      </c>
      <c r="C513" t="s">
        <v>871</v>
      </c>
      <c r="D513" s="10">
        <v>114703.43</v>
      </c>
      <c r="F513" s="10">
        <v>28838.98</v>
      </c>
      <c r="H513">
        <v>0</v>
      </c>
      <c r="J513" s="10">
        <v>143542.41</v>
      </c>
      <c r="L513" s="1">
        <f t="shared" si="7"/>
        <v>143542.41</v>
      </c>
      <c r="N513" s="6" t="str">
        <f>IF(ISERROR(VLOOKUP($A513,'Plano de Contas'!#REF!,8,FALSE)),"",VLOOKUP($A513,'Plano de Contas'!#REF!,8,FALSE))</f>
        <v/>
      </c>
      <c r="P513" s="6" t="str">
        <f>IF(ISERROR(VLOOKUP($A513,'Plano de Contas'!#REF!,10,FALSE)),"",VLOOKUP($A513,'Plano de Contas'!#REF!,10,FALSE))</f>
        <v/>
      </c>
    </row>
    <row r="514" spans="1:16" x14ac:dyDescent="0.25">
      <c r="A514" t="s">
        <v>872</v>
      </c>
      <c r="B514">
        <v>262</v>
      </c>
      <c r="C514" t="s">
        <v>873</v>
      </c>
      <c r="D514" s="10">
        <v>817690.82</v>
      </c>
      <c r="F514" s="10">
        <v>55640.03</v>
      </c>
      <c r="H514">
        <v>0</v>
      </c>
      <c r="J514" s="10">
        <v>873330.85</v>
      </c>
      <c r="L514" s="1">
        <f t="shared" si="7"/>
        <v>873330.85</v>
      </c>
      <c r="N514" s="6" t="str">
        <f>IF(ISERROR(VLOOKUP($A514,'Plano de Contas'!#REF!,8,FALSE)),"",VLOOKUP($A514,'Plano de Contas'!#REF!,8,FALSE))</f>
        <v/>
      </c>
      <c r="P514" s="6" t="str">
        <f>IF(ISERROR(VLOOKUP($A514,'Plano de Contas'!#REF!,10,FALSE)),"",VLOOKUP($A514,'Plano de Contas'!#REF!,10,FALSE))</f>
        <v/>
      </c>
    </row>
    <row r="515" spans="1:16" x14ac:dyDescent="0.25">
      <c r="A515" t="s">
        <v>874</v>
      </c>
      <c r="B515">
        <v>263</v>
      </c>
      <c r="C515" t="s">
        <v>875</v>
      </c>
      <c r="D515" s="10">
        <v>205574.37</v>
      </c>
      <c r="F515" s="10">
        <v>19288.400000000001</v>
      </c>
      <c r="H515">
        <v>0</v>
      </c>
      <c r="J515" s="10">
        <v>224862.77</v>
      </c>
      <c r="L515" s="1">
        <f t="shared" si="7"/>
        <v>224862.77</v>
      </c>
      <c r="N515" s="6" t="str">
        <f>IF(ISERROR(VLOOKUP($A515,'Plano de Contas'!#REF!,8,FALSE)),"",VLOOKUP($A515,'Plano de Contas'!#REF!,8,FALSE))</f>
        <v/>
      </c>
      <c r="P515" s="6" t="str">
        <f>IF(ISERROR(VLOOKUP($A515,'Plano de Contas'!#REF!,10,FALSE)),"",VLOOKUP($A515,'Plano de Contas'!#REF!,10,FALSE))</f>
        <v/>
      </c>
    </row>
    <row r="516" spans="1:16" x14ac:dyDescent="0.25">
      <c r="A516" t="s">
        <v>876</v>
      </c>
      <c r="B516">
        <v>264</v>
      </c>
      <c r="C516" t="s">
        <v>877</v>
      </c>
      <c r="D516">
        <v>50</v>
      </c>
      <c r="F516">
        <v>0</v>
      </c>
      <c r="H516">
        <v>0</v>
      </c>
      <c r="J516">
        <v>50</v>
      </c>
      <c r="L516" s="1">
        <f t="shared" si="7"/>
        <v>50</v>
      </c>
      <c r="N516" s="6" t="str">
        <f>IF(ISERROR(VLOOKUP($A516,'Plano de Contas'!#REF!,8,FALSE)),"",VLOOKUP($A516,'Plano de Contas'!#REF!,8,FALSE))</f>
        <v/>
      </c>
      <c r="P516" s="6" t="str">
        <f>IF(ISERROR(VLOOKUP($A516,'Plano de Contas'!#REF!,10,FALSE)),"",VLOOKUP($A516,'Plano de Contas'!#REF!,10,FALSE))</f>
        <v/>
      </c>
    </row>
    <row r="517" spans="1:16" x14ac:dyDescent="0.25">
      <c r="A517" t="s">
        <v>878</v>
      </c>
      <c r="B517">
        <v>265</v>
      </c>
      <c r="C517" t="s">
        <v>879</v>
      </c>
      <c r="D517" s="10">
        <v>115491.67</v>
      </c>
      <c r="F517" s="10">
        <v>6793.44</v>
      </c>
      <c r="H517">
        <v>0</v>
      </c>
      <c r="J517" s="10">
        <v>122285.11</v>
      </c>
      <c r="L517" s="1">
        <f t="shared" si="7"/>
        <v>122285.11</v>
      </c>
      <c r="N517" s="6" t="str">
        <f>IF(ISERROR(VLOOKUP($A517,'Plano de Contas'!#REF!,8,FALSE)),"",VLOOKUP($A517,'Plano de Contas'!#REF!,8,FALSE))</f>
        <v/>
      </c>
      <c r="P517" s="6" t="str">
        <f>IF(ISERROR(VLOOKUP($A517,'Plano de Contas'!#REF!,10,FALSE)),"",VLOOKUP($A517,'Plano de Contas'!#REF!,10,FALSE))</f>
        <v/>
      </c>
    </row>
    <row r="518" spans="1:16" x14ac:dyDescent="0.25">
      <c r="A518" t="s">
        <v>880</v>
      </c>
      <c r="B518">
        <v>266</v>
      </c>
      <c r="C518" t="s">
        <v>881</v>
      </c>
      <c r="D518" s="10">
        <v>17175.27</v>
      </c>
      <c r="F518" s="10">
        <v>1566.18</v>
      </c>
      <c r="H518">
        <v>0</v>
      </c>
      <c r="J518" s="10">
        <v>18741.45</v>
      </c>
      <c r="L518" s="1">
        <f t="shared" si="7"/>
        <v>18741.45</v>
      </c>
      <c r="N518" s="6" t="str">
        <f>IF(ISERROR(VLOOKUP($A518,'Plano de Contas'!#REF!,8,FALSE)),"",VLOOKUP($A518,'Plano de Contas'!#REF!,8,FALSE))</f>
        <v/>
      </c>
      <c r="P518" s="6" t="str">
        <f>IF(ISERROR(VLOOKUP($A518,'Plano de Contas'!#REF!,10,FALSE)),"",VLOOKUP($A518,'Plano de Contas'!#REF!,10,FALSE))</f>
        <v/>
      </c>
    </row>
    <row r="519" spans="1:16" x14ac:dyDescent="0.25">
      <c r="A519" t="s">
        <v>882</v>
      </c>
      <c r="B519">
        <v>267</v>
      </c>
      <c r="C519" t="s">
        <v>883</v>
      </c>
      <c r="D519" s="10">
        <v>5173.49</v>
      </c>
      <c r="F519">
        <v>285</v>
      </c>
      <c r="H519">
        <v>0</v>
      </c>
      <c r="J519" s="10">
        <v>5458.49</v>
      </c>
      <c r="L519" s="1">
        <f t="shared" si="7"/>
        <v>5458.49</v>
      </c>
      <c r="N519" s="6" t="str">
        <f>IF(ISERROR(VLOOKUP($A519,'Plano de Contas'!#REF!,8,FALSE)),"",VLOOKUP($A519,'Plano de Contas'!#REF!,8,FALSE))</f>
        <v/>
      </c>
      <c r="P519" s="6" t="str">
        <f>IF(ISERROR(VLOOKUP($A519,'Plano de Contas'!#REF!,10,FALSE)),"",VLOOKUP($A519,'Plano de Contas'!#REF!,10,FALSE))</f>
        <v/>
      </c>
    </row>
    <row r="520" spans="1:16" x14ac:dyDescent="0.25">
      <c r="A520" t="s">
        <v>884</v>
      </c>
      <c r="B520">
        <v>268</v>
      </c>
      <c r="C520" t="s">
        <v>885</v>
      </c>
      <c r="D520" s="10">
        <v>25037.33</v>
      </c>
      <c r="F520">
        <v>160</v>
      </c>
      <c r="H520">
        <v>0</v>
      </c>
      <c r="J520" s="10">
        <v>25197.33</v>
      </c>
      <c r="L520" s="1">
        <f t="shared" ref="L520:L583" si="8">IF(K520="-",-J520,J520)</f>
        <v>25197.33</v>
      </c>
      <c r="N520" s="6" t="str">
        <f>IF(ISERROR(VLOOKUP($A520,'Plano de Contas'!#REF!,8,FALSE)),"",VLOOKUP($A520,'Plano de Contas'!#REF!,8,FALSE))</f>
        <v/>
      </c>
      <c r="P520" s="6" t="str">
        <f>IF(ISERROR(VLOOKUP($A520,'Plano de Contas'!#REF!,10,FALSE)),"",VLOOKUP($A520,'Plano de Contas'!#REF!,10,FALSE))</f>
        <v/>
      </c>
    </row>
    <row r="521" spans="1:16" x14ac:dyDescent="0.25">
      <c r="A521" t="s">
        <v>886</v>
      </c>
      <c r="B521">
        <v>269</v>
      </c>
      <c r="C521" t="s">
        <v>887</v>
      </c>
      <c r="D521" s="10">
        <v>115759.93</v>
      </c>
      <c r="F521" s="10">
        <v>10429.44</v>
      </c>
      <c r="H521">
        <v>0</v>
      </c>
      <c r="J521" s="10">
        <v>126189.37</v>
      </c>
      <c r="L521" s="1">
        <f t="shared" si="8"/>
        <v>126189.37</v>
      </c>
      <c r="N521" s="6" t="str">
        <f>IF(ISERROR(VLOOKUP($A521,'Plano de Contas'!#REF!,8,FALSE)),"",VLOOKUP($A521,'Plano de Contas'!#REF!,8,FALSE))</f>
        <v/>
      </c>
      <c r="P521" s="6" t="str">
        <f>IF(ISERROR(VLOOKUP($A521,'Plano de Contas'!#REF!,10,FALSE)),"",VLOOKUP($A521,'Plano de Contas'!#REF!,10,FALSE))</f>
        <v/>
      </c>
    </row>
    <row r="522" spans="1:16" x14ac:dyDescent="0.25">
      <c r="A522" t="s">
        <v>888</v>
      </c>
      <c r="B522">
        <v>270</v>
      </c>
      <c r="C522" t="s">
        <v>889</v>
      </c>
      <c r="D522" s="10">
        <v>550314.44999999995</v>
      </c>
      <c r="F522" s="10">
        <v>70969.14</v>
      </c>
      <c r="H522">
        <v>0</v>
      </c>
      <c r="J522" s="10">
        <v>621283.59</v>
      </c>
      <c r="L522" s="1">
        <f t="shared" si="8"/>
        <v>621283.59</v>
      </c>
      <c r="N522" s="6" t="str">
        <f>IF(ISERROR(VLOOKUP($A522,'Plano de Contas'!#REF!,8,FALSE)),"",VLOOKUP($A522,'Plano de Contas'!#REF!,8,FALSE))</f>
        <v/>
      </c>
      <c r="P522" s="6" t="str">
        <f>IF(ISERROR(VLOOKUP($A522,'Plano de Contas'!#REF!,10,FALSE)),"",VLOOKUP($A522,'Plano de Contas'!#REF!,10,FALSE))</f>
        <v/>
      </c>
    </row>
    <row r="523" spans="1:16" x14ac:dyDescent="0.25">
      <c r="A523" t="s">
        <v>890</v>
      </c>
      <c r="B523">
        <v>272</v>
      </c>
      <c r="C523" t="s">
        <v>891</v>
      </c>
      <c r="D523" s="10">
        <v>1501.57</v>
      </c>
      <c r="F523">
        <v>377.03</v>
      </c>
      <c r="H523">
        <v>0</v>
      </c>
      <c r="J523" s="10">
        <v>1878.6</v>
      </c>
      <c r="L523" s="1">
        <f t="shared" si="8"/>
        <v>1878.6</v>
      </c>
      <c r="N523" s="6" t="str">
        <f>IF(ISERROR(VLOOKUP($A523,'Plano de Contas'!#REF!,8,FALSE)),"",VLOOKUP($A523,'Plano de Contas'!#REF!,8,FALSE))</f>
        <v/>
      </c>
      <c r="P523" s="6" t="str">
        <f>IF(ISERROR(VLOOKUP($A523,'Plano de Contas'!#REF!,10,FALSE)),"",VLOOKUP($A523,'Plano de Contas'!#REF!,10,FALSE))</f>
        <v/>
      </c>
    </row>
    <row r="524" spans="1:16" x14ac:dyDescent="0.25">
      <c r="A524" t="s">
        <v>892</v>
      </c>
      <c r="B524">
        <v>273</v>
      </c>
      <c r="C524" t="s">
        <v>893</v>
      </c>
      <c r="D524" s="10">
        <v>3666.87</v>
      </c>
      <c r="F524">
        <v>0</v>
      </c>
      <c r="H524">
        <v>0</v>
      </c>
      <c r="J524" s="10">
        <v>3666.87</v>
      </c>
      <c r="L524" s="1">
        <f t="shared" si="8"/>
        <v>3666.87</v>
      </c>
      <c r="N524" s="6" t="str">
        <f>IF(ISERROR(VLOOKUP($A524,'Plano de Contas'!#REF!,8,FALSE)),"",VLOOKUP($A524,'Plano de Contas'!#REF!,8,FALSE))</f>
        <v/>
      </c>
      <c r="P524" s="6" t="str">
        <f>IF(ISERROR(VLOOKUP($A524,'Plano de Contas'!#REF!,10,FALSE)),"",VLOOKUP($A524,'Plano de Contas'!#REF!,10,FALSE))</f>
        <v/>
      </c>
    </row>
    <row r="525" spans="1:16" x14ac:dyDescent="0.25">
      <c r="A525" t="s">
        <v>894</v>
      </c>
      <c r="B525">
        <v>274</v>
      </c>
      <c r="C525" t="s">
        <v>895</v>
      </c>
      <c r="D525" s="10">
        <v>194959.29</v>
      </c>
      <c r="F525" s="10">
        <v>18072.669999999998</v>
      </c>
      <c r="H525">
        <v>0</v>
      </c>
      <c r="J525" s="10">
        <v>213031.96</v>
      </c>
      <c r="L525" s="1">
        <f t="shared" si="8"/>
        <v>213031.96</v>
      </c>
      <c r="N525" s="6" t="str">
        <f>IF(ISERROR(VLOOKUP($A525,'Plano de Contas'!#REF!,8,FALSE)),"",VLOOKUP($A525,'Plano de Contas'!#REF!,8,FALSE))</f>
        <v/>
      </c>
      <c r="P525" s="6" t="str">
        <f>IF(ISERROR(VLOOKUP($A525,'Plano de Contas'!#REF!,10,FALSE)),"",VLOOKUP($A525,'Plano de Contas'!#REF!,10,FALSE))</f>
        <v/>
      </c>
    </row>
    <row r="526" spans="1:16" x14ac:dyDescent="0.25">
      <c r="A526" t="s">
        <v>896</v>
      </c>
      <c r="B526">
        <v>275</v>
      </c>
      <c r="C526" t="s">
        <v>897</v>
      </c>
      <c r="D526" s="10">
        <v>3834.75</v>
      </c>
      <c r="F526">
        <v>0</v>
      </c>
      <c r="H526">
        <v>0</v>
      </c>
      <c r="J526" s="10">
        <v>3834.75</v>
      </c>
      <c r="L526" s="1">
        <f t="shared" si="8"/>
        <v>3834.75</v>
      </c>
      <c r="N526" s="6" t="str">
        <f>IF(ISERROR(VLOOKUP($A526,'Plano de Contas'!#REF!,8,FALSE)),"",VLOOKUP($A526,'Plano de Contas'!#REF!,8,FALSE))</f>
        <v/>
      </c>
      <c r="P526" s="6" t="str">
        <f>IF(ISERROR(VLOOKUP($A526,'Plano de Contas'!#REF!,10,FALSE)),"",VLOOKUP($A526,'Plano de Contas'!#REF!,10,FALSE))</f>
        <v/>
      </c>
    </row>
    <row r="527" spans="1:16" x14ac:dyDescent="0.25">
      <c r="A527" t="s">
        <v>898</v>
      </c>
      <c r="B527">
        <v>276</v>
      </c>
      <c r="C527" t="s">
        <v>899</v>
      </c>
      <c r="D527" s="10">
        <v>922853.69</v>
      </c>
      <c r="F527" s="10">
        <v>17577.57</v>
      </c>
      <c r="H527">
        <v>0</v>
      </c>
      <c r="J527" s="10">
        <v>940431.26</v>
      </c>
      <c r="L527" s="1">
        <f t="shared" si="8"/>
        <v>940431.26</v>
      </c>
      <c r="N527" s="6" t="str">
        <f>IF(ISERROR(VLOOKUP($A527,'Plano de Contas'!#REF!,8,FALSE)),"",VLOOKUP($A527,'Plano de Contas'!#REF!,8,FALSE))</f>
        <v/>
      </c>
      <c r="P527" s="6" t="str">
        <f>IF(ISERROR(VLOOKUP($A527,'Plano de Contas'!#REF!,10,FALSE)),"",VLOOKUP($A527,'Plano de Contas'!#REF!,10,FALSE))</f>
        <v/>
      </c>
    </row>
    <row r="528" spans="1:16" x14ac:dyDescent="0.25">
      <c r="A528" t="s">
        <v>900</v>
      </c>
      <c r="B528">
        <v>426</v>
      </c>
      <c r="C528" t="s">
        <v>901</v>
      </c>
      <c r="D528" s="10">
        <v>252538.16</v>
      </c>
      <c r="F528" s="10">
        <v>38715.17</v>
      </c>
      <c r="H528">
        <v>0</v>
      </c>
      <c r="J528" s="10">
        <v>291253.33</v>
      </c>
      <c r="L528" s="1">
        <f t="shared" si="8"/>
        <v>291253.33</v>
      </c>
      <c r="N528" s="6" t="str">
        <f>IF(ISERROR(VLOOKUP($A528,'Plano de Contas'!#REF!,8,FALSE)),"",VLOOKUP($A528,'Plano de Contas'!#REF!,8,FALSE))</f>
        <v/>
      </c>
      <c r="P528" s="6" t="str">
        <f>IF(ISERROR(VLOOKUP($A528,'Plano de Contas'!#REF!,10,FALSE)),"",VLOOKUP($A528,'Plano de Contas'!#REF!,10,FALSE))</f>
        <v/>
      </c>
    </row>
    <row r="529" spans="1:16" x14ac:dyDescent="0.25">
      <c r="A529" t="s">
        <v>902</v>
      </c>
      <c r="B529">
        <v>439</v>
      </c>
      <c r="C529" t="s">
        <v>903</v>
      </c>
      <c r="D529">
        <v>-165</v>
      </c>
      <c r="F529">
        <v>0</v>
      </c>
      <c r="H529">
        <v>-45</v>
      </c>
      <c r="J529">
        <v>-210</v>
      </c>
      <c r="L529" s="1">
        <f t="shared" si="8"/>
        <v>-210</v>
      </c>
      <c r="N529" s="6" t="str">
        <f>IF(ISERROR(VLOOKUP($A529,'Plano de Contas'!#REF!,8,FALSE)),"",VLOOKUP($A529,'Plano de Contas'!#REF!,8,FALSE))</f>
        <v/>
      </c>
      <c r="P529" s="6" t="str">
        <f>IF(ISERROR(VLOOKUP($A529,'Plano de Contas'!#REF!,10,FALSE)),"",VLOOKUP($A529,'Plano de Contas'!#REF!,10,FALSE))</f>
        <v/>
      </c>
    </row>
    <row r="530" spans="1:16" x14ac:dyDescent="0.25">
      <c r="A530" t="s">
        <v>904</v>
      </c>
      <c r="B530">
        <v>551</v>
      </c>
      <c r="C530" t="s">
        <v>905</v>
      </c>
      <c r="D530" s="10">
        <v>320873.74</v>
      </c>
      <c r="F530" s="10">
        <v>29170.34</v>
      </c>
      <c r="H530">
        <v>0</v>
      </c>
      <c r="J530" s="10">
        <v>350044.08</v>
      </c>
      <c r="L530" s="1">
        <f t="shared" si="8"/>
        <v>350044.08</v>
      </c>
      <c r="N530" s="6" t="str">
        <f>IF(ISERROR(VLOOKUP($A530,'Plano de Contas'!#REF!,8,FALSE)),"",VLOOKUP($A530,'Plano de Contas'!#REF!,8,FALSE))</f>
        <v/>
      </c>
      <c r="P530" s="6" t="str">
        <f>IF(ISERROR(VLOOKUP($A530,'Plano de Contas'!#REF!,10,FALSE)),"",VLOOKUP($A530,'Plano de Contas'!#REF!,10,FALSE))</f>
        <v/>
      </c>
    </row>
    <row r="531" spans="1:16" x14ac:dyDescent="0.25">
      <c r="A531" t="s">
        <v>906</v>
      </c>
      <c r="B531">
        <v>560</v>
      </c>
      <c r="C531" t="s">
        <v>907</v>
      </c>
      <c r="D531" s="10">
        <v>61935.61</v>
      </c>
      <c r="F531" s="10">
        <v>83443.45</v>
      </c>
      <c r="H531">
        <v>0</v>
      </c>
      <c r="J531" s="10">
        <v>145379.06</v>
      </c>
      <c r="L531" s="1">
        <f t="shared" si="8"/>
        <v>145379.06</v>
      </c>
      <c r="N531" s="6" t="str">
        <f>IF(ISERROR(VLOOKUP($A531,'Plano de Contas'!#REF!,8,FALSE)),"",VLOOKUP($A531,'Plano de Contas'!#REF!,8,FALSE))</f>
        <v/>
      </c>
      <c r="P531" s="6" t="str">
        <f>IF(ISERROR(VLOOKUP($A531,'Plano de Contas'!#REF!,10,FALSE)),"",VLOOKUP($A531,'Plano de Contas'!#REF!,10,FALSE))</f>
        <v/>
      </c>
    </row>
    <row r="532" spans="1:16" x14ac:dyDescent="0.25">
      <c r="A532" t="s">
        <v>908</v>
      </c>
      <c r="B532">
        <v>592</v>
      </c>
      <c r="C532" t="s">
        <v>909</v>
      </c>
      <c r="D532" s="10">
        <v>357646.2</v>
      </c>
      <c r="F532" s="10">
        <v>30543.360000000001</v>
      </c>
      <c r="H532">
        <v>0</v>
      </c>
      <c r="J532" s="10">
        <v>388189.56</v>
      </c>
      <c r="L532" s="1">
        <f t="shared" si="8"/>
        <v>388189.56</v>
      </c>
      <c r="N532" s="6" t="str">
        <f>IF(ISERROR(VLOOKUP($A532,'Plano de Contas'!#REF!,8,FALSE)),"",VLOOKUP($A532,'Plano de Contas'!#REF!,8,FALSE))</f>
        <v/>
      </c>
      <c r="P532" s="6" t="str">
        <f>IF(ISERROR(VLOOKUP($A532,'Plano de Contas'!#REF!,10,FALSE)),"",VLOOKUP($A532,'Plano de Contas'!#REF!,10,FALSE))</f>
        <v/>
      </c>
    </row>
    <row r="533" spans="1:16" x14ac:dyDescent="0.25">
      <c r="A533" t="s">
        <v>910</v>
      </c>
      <c r="B533">
        <v>721</v>
      </c>
      <c r="C533" t="s">
        <v>911</v>
      </c>
      <c r="D533" s="10">
        <v>80459.28</v>
      </c>
      <c r="F533" s="10">
        <v>6294.2</v>
      </c>
      <c r="H533">
        <v>0</v>
      </c>
      <c r="J533" s="10">
        <v>86753.48</v>
      </c>
      <c r="L533" s="1">
        <f t="shared" si="8"/>
        <v>86753.48</v>
      </c>
      <c r="N533" s="6" t="str">
        <f>IF(ISERROR(VLOOKUP($A533,'Plano de Contas'!#REF!,8,FALSE)),"",VLOOKUP($A533,'Plano de Contas'!#REF!,8,FALSE))</f>
        <v/>
      </c>
      <c r="P533" s="6" t="str">
        <f>IF(ISERROR(VLOOKUP($A533,'Plano de Contas'!#REF!,10,FALSE)),"",VLOOKUP($A533,'Plano de Contas'!#REF!,10,FALSE))</f>
        <v/>
      </c>
    </row>
    <row r="534" spans="1:16" x14ac:dyDescent="0.25">
      <c r="A534" t="s">
        <v>912</v>
      </c>
      <c r="B534">
        <v>912</v>
      </c>
      <c r="C534" t="s">
        <v>913</v>
      </c>
      <c r="D534" s="10">
        <v>433856.88</v>
      </c>
      <c r="F534" s="10">
        <v>117470.03</v>
      </c>
      <c r="H534">
        <v>0</v>
      </c>
      <c r="J534" s="10">
        <v>551326.91</v>
      </c>
      <c r="L534" s="1">
        <f t="shared" si="8"/>
        <v>551326.91</v>
      </c>
      <c r="N534" s="6" t="str">
        <f>IF(ISERROR(VLOOKUP($A534,'Plano de Contas'!#REF!,8,FALSE)),"",VLOOKUP($A534,'Plano de Contas'!#REF!,8,FALSE))</f>
        <v/>
      </c>
      <c r="P534" s="6" t="str">
        <f>IF(ISERROR(VLOOKUP($A534,'Plano de Contas'!#REF!,10,FALSE)),"",VLOOKUP($A534,'Plano de Contas'!#REF!,10,FALSE))</f>
        <v/>
      </c>
    </row>
    <row r="535" spans="1:16" x14ac:dyDescent="0.25">
      <c r="A535" t="s">
        <v>914</v>
      </c>
      <c r="B535">
        <v>927</v>
      </c>
      <c r="C535" t="s">
        <v>915</v>
      </c>
      <c r="D535" s="10">
        <v>19178.48</v>
      </c>
      <c r="F535">
        <v>0</v>
      </c>
      <c r="H535">
        <v>0</v>
      </c>
      <c r="J535" s="10">
        <v>19178.48</v>
      </c>
      <c r="L535" s="1">
        <f t="shared" si="8"/>
        <v>19178.48</v>
      </c>
      <c r="N535" s="6" t="str">
        <f>IF(ISERROR(VLOOKUP($A535,'Plano de Contas'!#REF!,8,FALSE)),"",VLOOKUP($A535,'Plano de Contas'!#REF!,8,FALSE))</f>
        <v/>
      </c>
      <c r="P535" s="6" t="str">
        <f>IF(ISERROR(VLOOKUP($A535,'Plano de Contas'!#REF!,10,FALSE)),"",VLOOKUP($A535,'Plano de Contas'!#REF!,10,FALSE))</f>
        <v/>
      </c>
    </row>
    <row r="536" spans="1:16" x14ac:dyDescent="0.25">
      <c r="A536" t="s">
        <v>916</v>
      </c>
      <c r="B536">
        <v>467</v>
      </c>
      <c r="C536" t="s">
        <v>917</v>
      </c>
      <c r="D536" s="10">
        <v>786591.9</v>
      </c>
      <c r="F536" s="10">
        <v>100027.36</v>
      </c>
      <c r="H536">
        <v>0</v>
      </c>
      <c r="J536" s="10">
        <v>886619.26</v>
      </c>
      <c r="L536" s="1">
        <f t="shared" si="8"/>
        <v>886619.26</v>
      </c>
      <c r="N536" s="6" t="str">
        <f>IF(ISERROR(VLOOKUP($A536,'Plano de Contas'!#REF!,8,FALSE)),"",VLOOKUP($A536,'Plano de Contas'!#REF!,8,FALSE))</f>
        <v/>
      </c>
      <c r="P536" s="6" t="str">
        <f>IF(ISERROR(VLOOKUP($A536,'Plano de Contas'!#REF!,10,FALSE)),"",VLOOKUP($A536,'Plano de Contas'!#REF!,10,FALSE))</f>
        <v/>
      </c>
    </row>
    <row r="537" spans="1:16" x14ac:dyDescent="0.25">
      <c r="A537" t="s">
        <v>918</v>
      </c>
      <c r="B537">
        <v>490</v>
      </c>
      <c r="C537" t="s">
        <v>919</v>
      </c>
      <c r="D537" s="10">
        <v>-122692.82</v>
      </c>
      <c r="F537">
        <v>0</v>
      </c>
      <c r="H537" s="10">
        <v>-11839.67</v>
      </c>
      <c r="J537" s="10">
        <v>-134532.49</v>
      </c>
      <c r="L537" s="1">
        <f t="shared" si="8"/>
        <v>-134532.49</v>
      </c>
      <c r="N537" s="6" t="str">
        <f>IF(ISERROR(VLOOKUP($A537,'Plano de Contas'!#REF!,8,FALSE)),"",VLOOKUP($A537,'Plano de Contas'!#REF!,8,FALSE))</f>
        <v/>
      </c>
      <c r="P537" s="6" t="str">
        <f>IF(ISERROR(VLOOKUP($A537,'Plano de Contas'!#REF!,10,FALSE)),"",VLOOKUP($A537,'Plano de Contas'!#REF!,10,FALSE))</f>
        <v/>
      </c>
    </row>
    <row r="538" spans="1:16" x14ac:dyDescent="0.25">
      <c r="L538" s="1">
        <f t="shared" si="8"/>
        <v>0</v>
      </c>
      <c r="N538" s="6" t="str">
        <f>IF(ISERROR(VLOOKUP($A538,'Plano de Contas'!#REF!,8,FALSE)),"",VLOOKUP($A538,'Plano de Contas'!#REF!,8,FALSE))</f>
        <v/>
      </c>
      <c r="P538" s="6" t="str">
        <f>IF(ISERROR(VLOOKUP($A538,'Plano de Contas'!#REF!,10,FALSE)),"",VLOOKUP($A538,'Plano de Contas'!#REF!,10,FALSE))</f>
        <v/>
      </c>
    </row>
    <row r="539" spans="1:16" x14ac:dyDescent="0.25">
      <c r="A539" t="s">
        <v>920</v>
      </c>
      <c r="B539">
        <v>277</v>
      </c>
      <c r="C539" t="s">
        <v>921</v>
      </c>
      <c r="D539" s="10">
        <v>927901.94</v>
      </c>
      <c r="F539" s="10">
        <v>15934.33</v>
      </c>
      <c r="H539">
        <v>0</v>
      </c>
      <c r="J539" s="10">
        <v>943836.27</v>
      </c>
      <c r="L539" s="1">
        <f t="shared" si="8"/>
        <v>943836.27</v>
      </c>
      <c r="N539" s="6" t="str">
        <f>IF(ISERROR(VLOOKUP($A539,'Plano de Contas'!#REF!,8,FALSE)),"",VLOOKUP($A539,'Plano de Contas'!#REF!,8,FALSE))</f>
        <v/>
      </c>
      <c r="P539" s="6" t="str">
        <f>IF(ISERROR(VLOOKUP($A539,'Plano de Contas'!#REF!,10,FALSE)),"",VLOOKUP($A539,'Plano de Contas'!#REF!,10,FALSE))</f>
        <v/>
      </c>
    </row>
    <row r="540" spans="1:16" x14ac:dyDescent="0.25">
      <c r="A540" t="s">
        <v>922</v>
      </c>
      <c r="B540">
        <v>281</v>
      </c>
      <c r="C540" t="s">
        <v>923</v>
      </c>
      <c r="D540" s="10">
        <v>664301.30000000005</v>
      </c>
      <c r="F540">
        <v>0</v>
      </c>
      <c r="H540">
        <v>0</v>
      </c>
      <c r="J540" s="10">
        <v>664301.30000000005</v>
      </c>
      <c r="L540" s="1">
        <f t="shared" si="8"/>
        <v>664301.30000000005</v>
      </c>
      <c r="N540" s="6" t="str">
        <f>IF(ISERROR(VLOOKUP($A540,'Plano de Contas'!#REF!,8,FALSE)),"",VLOOKUP($A540,'Plano de Contas'!#REF!,8,FALSE))</f>
        <v/>
      </c>
      <c r="P540" s="6" t="str">
        <f>IF(ISERROR(VLOOKUP($A540,'Plano de Contas'!#REF!,10,FALSE)),"",VLOOKUP($A540,'Plano de Contas'!#REF!,10,FALSE))</f>
        <v/>
      </c>
    </row>
    <row r="541" spans="1:16" x14ac:dyDescent="0.25">
      <c r="A541" t="s">
        <v>924</v>
      </c>
      <c r="B541">
        <v>282</v>
      </c>
      <c r="C541" t="s">
        <v>925</v>
      </c>
      <c r="D541" s="10">
        <v>164491.64000000001</v>
      </c>
      <c r="F541" s="10">
        <v>15795.58</v>
      </c>
      <c r="H541">
        <v>0</v>
      </c>
      <c r="J541" s="10">
        <v>180287.22</v>
      </c>
      <c r="L541" s="1">
        <f t="shared" si="8"/>
        <v>180287.22</v>
      </c>
      <c r="N541" s="6" t="str">
        <f>IF(ISERROR(VLOOKUP($A541,'Plano de Contas'!#REF!,8,FALSE)),"",VLOOKUP($A541,'Plano de Contas'!#REF!,8,FALSE))</f>
        <v/>
      </c>
      <c r="P541" s="6" t="str">
        <f>IF(ISERROR(VLOOKUP($A541,'Plano de Contas'!#REF!,10,FALSE)),"",VLOOKUP($A541,'Plano de Contas'!#REF!,10,FALSE))</f>
        <v/>
      </c>
    </row>
    <row r="542" spans="1:16" x14ac:dyDescent="0.25">
      <c r="A542" t="s">
        <v>926</v>
      </c>
      <c r="B542">
        <v>284</v>
      </c>
      <c r="C542" t="s">
        <v>927</v>
      </c>
      <c r="D542">
        <v>666.53</v>
      </c>
      <c r="F542">
        <v>0</v>
      </c>
      <c r="H542">
        <v>0</v>
      </c>
      <c r="J542">
        <v>666.53</v>
      </c>
      <c r="L542" s="1">
        <f t="shared" si="8"/>
        <v>666.53</v>
      </c>
      <c r="N542" s="6" t="str">
        <f>IF(ISERROR(VLOOKUP($A542,'Plano de Contas'!#REF!,8,FALSE)),"",VLOOKUP($A542,'Plano de Contas'!#REF!,8,FALSE))</f>
        <v/>
      </c>
      <c r="P542" s="6" t="str">
        <f>IF(ISERROR(VLOOKUP($A542,'Plano de Contas'!#REF!,10,FALSE)),"",VLOOKUP($A542,'Plano de Contas'!#REF!,10,FALSE))</f>
        <v/>
      </c>
    </row>
    <row r="543" spans="1:16" x14ac:dyDescent="0.25">
      <c r="A543" t="s">
        <v>928</v>
      </c>
      <c r="B543">
        <v>700</v>
      </c>
      <c r="C543" t="s">
        <v>929</v>
      </c>
      <c r="D543" s="10">
        <v>17560.84</v>
      </c>
      <c r="F543">
        <v>24.75</v>
      </c>
      <c r="H543">
        <v>0</v>
      </c>
      <c r="J543" s="10">
        <v>17585.59</v>
      </c>
      <c r="L543" s="1">
        <f t="shared" si="8"/>
        <v>17585.59</v>
      </c>
      <c r="N543" s="6" t="str">
        <f>IF(ISERROR(VLOOKUP($A543,'Plano de Contas'!#REF!,8,FALSE)),"",VLOOKUP($A543,'Plano de Contas'!#REF!,8,FALSE))</f>
        <v/>
      </c>
      <c r="P543" s="6" t="str">
        <f>IF(ISERROR(VLOOKUP($A543,'Plano de Contas'!#REF!,10,FALSE)),"",VLOOKUP($A543,'Plano de Contas'!#REF!,10,FALSE))</f>
        <v/>
      </c>
    </row>
    <row r="544" spans="1:16" x14ac:dyDescent="0.25">
      <c r="A544" t="s">
        <v>930</v>
      </c>
      <c r="B544">
        <v>701</v>
      </c>
      <c r="C544" t="s">
        <v>554</v>
      </c>
      <c r="D544" s="10">
        <v>80881.63</v>
      </c>
      <c r="F544">
        <v>114</v>
      </c>
      <c r="H544">
        <v>0</v>
      </c>
      <c r="J544" s="10">
        <v>80995.63</v>
      </c>
      <c r="L544" s="1">
        <f t="shared" si="8"/>
        <v>80995.63</v>
      </c>
      <c r="N544" s="6" t="str">
        <f>IF(ISERROR(VLOOKUP($A544,'Plano de Contas'!#REF!,8,FALSE)),"",VLOOKUP($A544,'Plano de Contas'!#REF!,8,FALSE))</f>
        <v/>
      </c>
      <c r="P544" s="6" t="str">
        <f>IF(ISERROR(VLOOKUP($A544,'Plano de Contas'!#REF!,10,FALSE)),"",VLOOKUP($A544,'Plano de Contas'!#REF!,10,FALSE))</f>
        <v/>
      </c>
    </row>
    <row r="545" spans="1:16" x14ac:dyDescent="0.25">
      <c r="L545" s="1">
        <f t="shared" si="8"/>
        <v>0</v>
      </c>
      <c r="N545" s="6" t="str">
        <f>IF(ISERROR(VLOOKUP($A545,'Plano de Contas'!#REF!,8,FALSE)),"",VLOOKUP($A545,'Plano de Contas'!#REF!,8,FALSE))</f>
        <v/>
      </c>
      <c r="P545" s="6" t="str">
        <f>IF(ISERROR(VLOOKUP($A545,'Plano de Contas'!#REF!,10,FALSE)),"",VLOOKUP($A545,'Plano de Contas'!#REF!,10,FALSE))</f>
        <v/>
      </c>
    </row>
    <row r="546" spans="1:16" x14ac:dyDescent="0.25">
      <c r="A546" t="s">
        <v>931</v>
      </c>
      <c r="B546">
        <v>733</v>
      </c>
      <c r="C546" t="s">
        <v>932</v>
      </c>
      <c r="D546" s="10">
        <v>13936224.060000001</v>
      </c>
      <c r="E546" t="s">
        <v>35</v>
      </c>
      <c r="F546">
        <v>0</v>
      </c>
      <c r="H546" s="10">
        <v>8937254.4700000007</v>
      </c>
      <c r="I546" t="s">
        <v>35</v>
      </c>
      <c r="J546" s="10">
        <v>22873478.530000001</v>
      </c>
      <c r="K546" t="s">
        <v>35</v>
      </c>
      <c r="L546" s="1">
        <f t="shared" si="8"/>
        <v>-22873478.530000001</v>
      </c>
      <c r="N546" s="6" t="str">
        <f>IF(ISERROR(VLOOKUP($A546,'Plano de Contas'!#REF!,8,FALSE)),"",VLOOKUP($A546,'Plano de Contas'!#REF!,8,FALSE))</f>
        <v/>
      </c>
      <c r="P546" s="6" t="str">
        <f>IF(ISERROR(VLOOKUP($A546,'Plano de Contas'!#REF!,10,FALSE)),"",VLOOKUP($A546,'Plano de Contas'!#REF!,10,FALSE))</f>
        <v/>
      </c>
    </row>
    <row r="547" spans="1:16" x14ac:dyDescent="0.25">
      <c r="A547" t="s">
        <v>933</v>
      </c>
      <c r="B547">
        <v>880</v>
      </c>
      <c r="C547" t="s">
        <v>934</v>
      </c>
      <c r="D547" s="10">
        <v>-12878000</v>
      </c>
      <c r="F547">
        <v>0</v>
      </c>
      <c r="H547" s="10">
        <v>-8935754.4700000007</v>
      </c>
      <c r="J547" s="10">
        <v>-21813754.469999999</v>
      </c>
      <c r="L547" s="1">
        <f t="shared" si="8"/>
        <v>-21813754.469999999</v>
      </c>
      <c r="N547" s="6" t="str">
        <f>IF(ISERROR(VLOOKUP($A547,'Plano de Contas'!#REF!,8,FALSE)),"",VLOOKUP($A547,'Plano de Contas'!#REF!,8,FALSE))</f>
        <v/>
      </c>
      <c r="P547" s="6" t="str">
        <f>IF(ISERROR(VLOOKUP($A547,'Plano de Contas'!#REF!,10,FALSE)),"",VLOOKUP($A547,'Plano de Contas'!#REF!,10,FALSE))</f>
        <v/>
      </c>
    </row>
    <row r="548" spans="1:16" x14ac:dyDescent="0.25">
      <c r="A548" t="s">
        <v>935</v>
      </c>
      <c r="B548">
        <v>881</v>
      </c>
      <c r="C548" t="s">
        <v>936</v>
      </c>
      <c r="D548" s="10">
        <v>1058224.06</v>
      </c>
      <c r="E548" t="s">
        <v>35</v>
      </c>
      <c r="F548">
        <v>0</v>
      </c>
      <c r="H548" s="10">
        <v>1500</v>
      </c>
      <c r="I548" t="s">
        <v>35</v>
      </c>
      <c r="J548" s="10">
        <v>1059724.06</v>
      </c>
      <c r="K548" t="s">
        <v>35</v>
      </c>
      <c r="L548" s="1">
        <f t="shared" si="8"/>
        <v>-1059724.06</v>
      </c>
      <c r="N548" s="6" t="str">
        <f>IF(ISERROR(VLOOKUP($A548,'Plano de Contas'!#REF!,8,FALSE)),"",VLOOKUP($A548,'Plano de Contas'!#REF!,8,FALSE))</f>
        <v/>
      </c>
      <c r="P548" s="6" t="str">
        <f>IF(ISERROR(VLOOKUP($A548,'Plano de Contas'!#REF!,10,FALSE)),"",VLOOKUP($A548,'Plano de Contas'!#REF!,10,FALSE))</f>
        <v/>
      </c>
    </row>
    <row r="549" spans="1:16" x14ac:dyDescent="0.25">
      <c r="L549" s="1">
        <f t="shared" si="8"/>
        <v>0</v>
      </c>
      <c r="N549" s="6" t="str">
        <f>IF(ISERROR(VLOOKUP($A549,'Plano de Contas'!#REF!,8,FALSE)),"",VLOOKUP($A549,'Plano de Contas'!#REF!,8,FALSE))</f>
        <v/>
      </c>
      <c r="P549" s="6" t="str">
        <f>IF(ISERROR(VLOOKUP($A549,'Plano de Contas'!#REF!,10,FALSE)),"",VLOOKUP($A549,'Plano de Contas'!#REF!,10,FALSE))</f>
        <v/>
      </c>
    </row>
    <row r="550" spans="1:16" x14ac:dyDescent="0.25">
      <c r="A550" t="s">
        <v>937</v>
      </c>
      <c r="B550">
        <v>285</v>
      </c>
      <c r="C550" t="s">
        <v>938</v>
      </c>
      <c r="D550" s="10">
        <v>2474665.14</v>
      </c>
      <c r="E550" t="s">
        <v>35</v>
      </c>
      <c r="F550" s="10">
        <v>279175.67999999999</v>
      </c>
      <c r="H550" s="10">
        <v>520123.89</v>
      </c>
      <c r="I550" t="s">
        <v>35</v>
      </c>
      <c r="J550" s="10">
        <v>2715613.35</v>
      </c>
      <c r="K550" t="s">
        <v>35</v>
      </c>
      <c r="L550" s="1">
        <f t="shared" si="8"/>
        <v>-2715613.35</v>
      </c>
      <c r="N550" s="6" t="str">
        <f>IF(ISERROR(VLOOKUP($A550,'Plano de Contas'!#REF!,8,FALSE)),"",VLOOKUP($A550,'Plano de Contas'!#REF!,8,FALSE))</f>
        <v/>
      </c>
      <c r="P550" s="6" t="str">
        <f>IF(ISERROR(VLOOKUP($A550,'Plano de Contas'!#REF!,10,FALSE)),"",VLOOKUP($A550,'Plano de Contas'!#REF!,10,FALSE))</f>
        <v/>
      </c>
    </row>
    <row r="551" spans="1:16" x14ac:dyDescent="0.25">
      <c r="L551" s="1">
        <f t="shared" si="8"/>
        <v>0</v>
      </c>
      <c r="N551" s="6" t="str">
        <f>IF(ISERROR(VLOOKUP($A551,'Plano de Contas'!#REF!,8,FALSE)),"",VLOOKUP($A551,'Plano de Contas'!#REF!,8,FALSE))</f>
        <v/>
      </c>
      <c r="P551" s="6" t="str">
        <f>IF(ISERROR(VLOOKUP($A551,'Plano de Contas'!#REF!,10,FALSE)),"",VLOOKUP($A551,'Plano de Contas'!#REF!,10,FALSE))</f>
        <v/>
      </c>
    </row>
    <row r="552" spans="1:16" x14ac:dyDescent="0.25">
      <c r="A552" t="s">
        <v>939</v>
      </c>
      <c r="B552">
        <v>286</v>
      </c>
      <c r="C552" t="s">
        <v>940</v>
      </c>
      <c r="D552" s="10">
        <v>4639648.37</v>
      </c>
      <c r="E552" t="s">
        <v>35</v>
      </c>
      <c r="F552">
        <v>0</v>
      </c>
      <c r="H552" s="10">
        <v>429822.36</v>
      </c>
      <c r="I552" t="s">
        <v>35</v>
      </c>
      <c r="J552" s="10">
        <v>5069470.7300000004</v>
      </c>
      <c r="K552" t="s">
        <v>35</v>
      </c>
      <c r="L552" s="1">
        <f t="shared" si="8"/>
        <v>-5069470.7300000004</v>
      </c>
      <c r="N552" s="6" t="str">
        <f>IF(ISERROR(VLOOKUP($A552,'Plano de Contas'!#REF!,8,FALSE)),"",VLOOKUP($A552,'Plano de Contas'!#REF!,8,FALSE))</f>
        <v/>
      </c>
      <c r="P552" s="6" t="str">
        <f>IF(ISERROR(VLOOKUP($A552,'Plano de Contas'!#REF!,10,FALSE)),"",VLOOKUP($A552,'Plano de Contas'!#REF!,10,FALSE))</f>
        <v/>
      </c>
    </row>
    <row r="553" spans="1:16" x14ac:dyDescent="0.25">
      <c r="L553" s="1">
        <f t="shared" si="8"/>
        <v>0</v>
      </c>
      <c r="N553" s="6" t="str">
        <f>IF(ISERROR(VLOOKUP($A553,'Plano de Contas'!#REF!,8,FALSE)),"",VLOOKUP($A553,'Plano de Contas'!#REF!,8,FALSE))</f>
        <v/>
      </c>
      <c r="P553" s="6" t="str">
        <f>IF(ISERROR(VLOOKUP($A553,'Plano de Contas'!#REF!,10,FALSE)),"",VLOOKUP($A553,'Plano de Contas'!#REF!,10,FALSE))</f>
        <v/>
      </c>
    </row>
    <row r="554" spans="1:16" x14ac:dyDescent="0.25">
      <c r="A554" t="s">
        <v>941</v>
      </c>
      <c r="B554">
        <v>287</v>
      </c>
      <c r="C554" t="s">
        <v>942</v>
      </c>
      <c r="D554" s="10">
        <v>4639648.37</v>
      </c>
      <c r="E554" t="s">
        <v>35</v>
      </c>
      <c r="F554">
        <v>0</v>
      </c>
      <c r="H554" s="10">
        <v>429822.36</v>
      </c>
      <c r="I554" t="s">
        <v>35</v>
      </c>
      <c r="J554" s="10">
        <v>5069470.7300000004</v>
      </c>
      <c r="K554" t="s">
        <v>35</v>
      </c>
      <c r="L554" s="1">
        <f t="shared" si="8"/>
        <v>-5069470.7300000004</v>
      </c>
      <c r="N554" s="6" t="str">
        <f>IF(ISERROR(VLOOKUP($A554,'Plano de Contas'!#REF!,8,FALSE)),"",VLOOKUP($A554,'Plano de Contas'!#REF!,8,FALSE))</f>
        <v/>
      </c>
      <c r="P554" s="6" t="str">
        <f>IF(ISERROR(VLOOKUP($A554,'Plano de Contas'!#REF!,10,FALSE)),"",VLOOKUP($A554,'Plano de Contas'!#REF!,10,FALSE))</f>
        <v/>
      </c>
    </row>
    <row r="555" spans="1:16" x14ac:dyDescent="0.25">
      <c r="A555" t="s">
        <v>943</v>
      </c>
      <c r="B555">
        <v>288</v>
      </c>
      <c r="C555" t="s">
        <v>944</v>
      </c>
      <c r="D555" s="10">
        <v>-2127809.46</v>
      </c>
      <c r="F555">
        <v>0</v>
      </c>
      <c r="H555" s="10">
        <v>-401046.85</v>
      </c>
      <c r="J555" s="10">
        <v>-2528856.31</v>
      </c>
      <c r="L555" s="1">
        <f t="shared" si="8"/>
        <v>-2528856.31</v>
      </c>
      <c r="N555" s="6" t="str">
        <f>IF(ISERROR(VLOOKUP($A555,'Plano de Contas'!#REF!,8,FALSE)),"",VLOOKUP($A555,'Plano de Contas'!#REF!,8,FALSE))</f>
        <v/>
      </c>
      <c r="P555" s="6" t="str">
        <f>IF(ISERROR(VLOOKUP($A555,'Plano de Contas'!#REF!,10,FALSE)),"",VLOOKUP($A555,'Plano de Contas'!#REF!,10,FALSE))</f>
        <v/>
      </c>
    </row>
    <row r="556" spans="1:16" x14ac:dyDescent="0.25">
      <c r="A556" t="s">
        <v>945</v>
      </c>
      <c r="B556">
        <v>289</v>
      </c>
      <c r="C556" t="s">
        <v>946</v>
      </c>
      <c r="D556">
        <v>86.65</v>
      </c>
      <c r="E556" t="s">
        <v>35</v>
      </c>
      <c r="F556">
        <v>0</v>
      </c>
      <c r="H556">
        <v>220.34</v>
      </c>
      <c r="I556" t="s">
        <v>35</v>
      </c>
      <c r="J556">
        <v>306.99</v>
      </c>
      <c r="K556" t="s">
        <v>35</v>
      </c>
      <c r="L556" s="1">
        <f t="shared" si="8"/>
        <v>-306.99</v>
      </c>
      <c r="N556" s="6" t="str">
        <f>IF(ISERROR(VLOOKUP($A556,'Plano de Contas'!#REF!,8,FALSE)),"",VLOOKUP($A556,'Plano de Contas'!#REF!,8,FALSE))</f>
        <v/>
      </c>
      <c r="P556" s="6" t="str">
        <f>IF(ISERROR(VLOOKUP($A556,'Plano de Contas'!#REF!,10,FALSE)),"",VLOOKUP($A556,'Plano de Contas'!#REF!,10,FALSE))</f>
        <v/>
      </c>
    </row>
    <row r="557" spans="1:16" x14ac:dyDescent="0.25">
      <c r="A557" t="s">
        <v>947</v>
      </c>
      <c r="B557">
        <v>290</v>
      </c>
      <c r="C557" t="s">
        <v>948</v>
      </c>
      <c r="D557" s="10">
        <v>1345569.85</v>
      </c>
      <c r="E557" t="s">
        <v>35</v>
      </c>
      <c r="F557">
        <v>0</v>
      </c>
      <c r="H557" s="10">
        <v>26699.29</v>
      </c>
      <c r="I557" t="s">
        <v>35</v>
      </c>
      <c r="J557" s="10">
        <v>1372269.14</v>
      </c>
      <c r="K557" t="s">
        <v>35</v>
      </c>
      <c r="L557" s="1">
        <f t="shared" si="8"/>
        <v>-1372269.14</v>
      </c>
      <c r="N557" s="6" t="str">
        <f>IF(ISERROR(VLOOKUP($A557,'Plano de Contas'!#REF!,8,FALSE)),"",VLOOKUP($A557,'Plano de Contas'!#REF!,8,FALSE))</f>
        <v/>
      </c>
      <c r="P557" s="6" t="str">
        <f>IF(ISERROR(VLOOKUP($A557,'Plano de Contas'!#REF!,10,FALSE)),"",VLOOKUP($A557,'Plano de Contas'!#REF!,10,FALSE))</f>
        <v/>
      </c>
    </row>
    <row r="558" spans="1:16" x14ac:dyDescent="0.25">
      <c r="A558" t="s">
        <v>949</v>
      </c>
      <c r="B558">
        <v>291</v>
      </c>
      <c r="C558" t="s">
        <v>950</v>
      </c>
      <c r="D558">
        <v>264.58999999999997</v>
      </c>
      <c r="E558" t="s">
        <v>35</v>
      </c>
      <c r="F558">
        <v>0</v>
      </c>
      <c r="H558">
        <v>298.7</v>
      </c>
      <c r="I558" t="s">
        <v>35</v>
      </c>
      <c r="J558">
        <v>563.29</v>
      </c>
      <c r="K558" t="s">
        <v>35</v>
      </c>
      <c r="L558" s="1">
        <f t="shared" si="8"/>
        <v>-563.29</v>
      </c>
      <c r="N558" s="6" t="str">
        <f>IF(ISERROR(VLOOKUP($A558,'Plano de Contas'!#REF!,8,FALSE)),"",VLOOKUP($A558,'Plano de Contas'!#REF!,8,FALSE))</f>
        <v/>
      </c>
      <c r="P558" s="6" t="str">
        <f>IF(ISERROR(VLOOKUP($A558,'Plano de Contas'!#REF!,10,FALSE)),"",VLOOKUP($A558,'Plano de Contas'!#REF!,10,FALSE))</f>
        <v/>
      </c>
    </row>
    <row r="559" spans="1:16" x14ac:dyDescent="0.25">
      <c r="A559" t="s">
        <v>951</v>
      </c>
      <c r="B559">
        <v>329</v>
      </c>
      <c r="C559" t="s">
        <v>952</v>
      </c>
      <c r="D559" s="10">
        <v>1165917.82</v>
      </c>
      <c r="E559" t="s">
        <v>35</v>
      </c>
      <c r="F559">
        <v>0</v>
      </c>
      <c r="H559" s="10">
        <v>1557.18</v>
      </c>
      <c r="I559" t="s">
        <v>35</v>
      </c>
      <c r="J559" s="10">
        <v>1167475</v>
      </c>
      <c r="K559" t="s">
        <v>35</v>
      </c>
      <c r="L559" s="1">
        <f t="shared" si="8"/>
        <v>-1167475</v>
      </c>
      <c r="N559" s="6" t="str">
        <f>IF(ISERROR(VLOOKUP($A559,'Plano de Contas'!#REF!,8,FALSE)),"",VLOOKUP($A559,'Plano de Contas'!#REF!,8,FALSE))</f>
        <v/>
      </c>
      <c r="P559" s="6" t="str">
        <f>IF(ISERROR(VLOOKUP($A559,'Plano de Contas'!#REF!,10,FALSE)),"",VLOOKUP($A559,'Plano de Contas'!#REF!,10,FALSE))</f>
        <v/>
      </c>
    </row>
    <row r="560" spans="1:16" x14ac:dyDescent="0.25">
      <c r="L560" s="1">
        <f t="shared" si="8"/>
        <v>0</v>
      </c>
      <c r="N560" s="6" t="str">
        <f>IF(ISERROR(VLOOKUP($A560,'Plano de Contas'!#REF!,8,FALSE)),"",VLOOKUP($A560,'Plano de Contas'!#REF!,8,FALSE))</f>
        <v/>
      </c>
      <c r="P560" s="6" t="str">
        <f>IF(ISERROR(VLOOKUP($A560,'Plano de Contas'!#REF!,10,FALSE)),"",VLOOKUP($A560,'Plano de Contas'!#REF!,10,FALSE))</f>
        <v/>
      </c>
    </row>
    <row r="561" spans="1:16" x14ac:dyDescent="0.25">
      <c r="A561" t="s">
        <v>953</v>
      </c>
      <c r="B561">
        <v>292</v>
      </c>
      <c r="C561" t="s">
        <v>954</v>
      </c>
      <c r="D561" s="10">
        <v>2164983.23</v>
      </c>
      <c r="F561" s="10">
        <v>279175.67999999999</v>
      </c>
      <c r="H561" s="10">
        <v>90301.53</v>
      </c>
      <c r="I561" t="s">
        <v>35</v>
      </c>
      <c r="J561" s="10">
        <v>2353857.38</v>
      </c>
      <c r="L561" s="1">
        <f t="shared" si="8"/>
        <v>2353857.38</v>
      </c>
      <c r="N561" s="6" t="str">
        <f>IF(ISERROR(VLOOKUP($A561,'Plano de Contas'!#REF!,8,FALSE)),"",VLOOKUP($A561,'Plano de Contas'!#REF!,8,FALSE))</f>
        <v/>
      </c>
      <c r="P561" s="6" t="str">
        <f>IF(ISERROR(VLOOKUP($A561,'Plano de Contas'!#REF!,10,FALSE)),"",VLOOKUP($A561,'Plano de Contas'!#REF!,10,FALSE))</f>
        <v/>
      </c>
    </row>
    <row r="562" spans="1:16" x14ac:dyDescent="0.25">
      <c r="L562" s="1">
        <f t="shared" si="8"/>
        <v>0</v>
      </c>
      <c r="N562" s="6" t="str">
        <f>IF(ISERROR(VLOOKUP($A562,'Plano de Contas'!#REF!,8,FALSE)),"",VLOOKUP($A562,'Plano de Contas'!#REF!,8,FALSE))</f>
        <v/>
      </c>
      <c r="P562" s="6" t="str">
        <f>IF(ISERROR(VLOOKUP($A562,'Plano de Contas'!#REF!,10,FALSE)),"",VLOOKUP($A562,'Plano de Contas'!#REF!,10,FALSE))</f>
        <v/>
      </c>
    </row>
    <row r="563" spans="1:16" x14ac:dyDescent="0.25">
      <c r="A563" t="s">
        <v>955</v>
      </c>
      <c r="B563">
        <v>293</v>
      </c>
      <c r="C563" t="s">
        <v>956</v>
      </c>
      <c r="D563" s="10">
        <v>2164983.23</v>
      </c>
      <c r="F563" s="10">
        <v>279175.67999999999</v>
      </c>
      <c r="H563" s="10">
        <v>90301.53</v>
      </c>
      <c r="I563" t="s">
        <v>35</v>
      </c>
      <c r="J563" s="10">
        <v>2353857.38</v>
      </c>
      <c r="L563" s="1">
        <f t="shared" si="8"/>
        <v>2353857.38</v>
      </c>
      <c r="N563" s="6" t="str">
        <f>IF(ISERROR(VLOOKUP($A563,'Plano de Contas'!#REF!,8,FALSE)),"",VLOOKUP($A563,'Plano de Contas'!#REF!,8,FALSE))</f>
        <v/>
      </c>
      <c r="P563" s="6" t="str">
        <f>IF(ISERROR(VLOOKUP($A563,'Plano de Contas'!#REF!,10,FALSE)),"",VLOOKUP($A563,'Plano de Contas'!#REF!,10,FALSE))</f>
        <v/>
      </c>
    </row>
    <row r="564" spans="1:16" x14ac:dyDescent="0.25">
      <c r="A564" t="s">
        <v>957</v>
      </c>
      <c r="B564">
        <v>294</v>
      </c>
      <c r="C564" t="s">
        <v>958</v>
      </c>
      <c r="D564" s="10">
        <v>47371.85</v>
      </c>
      <c r="F564" s="10">
        <v>7057.27</v>
      </c>
      <c r="H564">
        <v>4</v>
      </c>
      <c r="I564" t="s">
        <v>35</v>
      </c>
      <c r="J564" s="10">
        <v>54425.120000000003</v>
      </c>
      <c r="L564" s="1">
        <f t="shared" si="8"/>
        <v>54425.120000000003</v>
      </c>
      <c r="N564" s="6" t="str">
        <f>IF(ISERROR(VLOOKUP($A564,'Plano de Contas'!#REF!,8,FALSE)),"",VLOOKUP($A564,'Plano de Contas'!#REF!,8,FALSE))</f>
        <v/>
      </c>
      <c r="P564" s="6" t="str">
        <f>IF(ISERROR(VLOOKUP($A564,'Plano de Contas'!#REF!,10,FALSE)),"",VLOOKUP($A564,'Plano de Contas'!#REF!,10,FALSE))</f>
        <v/>
      </c>
    </row>
    <row r="565" spans="1:16" x14ac:dyDescent="0.25">
      <c r="A565" t="s">
        <v>959</v>
      </c>
      <c r="B565">
        <v>295</v>
      </c>
      <c r="C565" t="s">
        <v>960</v>
      </c>
      <c r="D565">
        <v>0.03</v>
      </c>
      <c r="F565">
        <v>0</v>
      </c>
      <c r="H565">
        <v>0</v>
      </c>
      <c r="J565">
        <v>0.03</v>
      </c>
      <c r="L565" s="1">
        <f t="shared" si="8"/>
        <v>0.03</v>
      </c>
      <c r="N565" s="6" t="str">
        <f>IF(ISERROR(VLOOKUP($A565,'Plano de Contas'!#REF!,8,FALSE)),"",VLOOKUP($A565,'Plano de Contas'!#REF!,8,FALSE))</f>
        <v/>
      </c>
      <c r="P565" s="6" t="str">
        <f>IF(ISERROR(VLOOKUP($A565,'Plano de Contas'!#REF!,10,FALSE)),"",VLOOKUP($A565,'Plano de Contas'!#REF!,10,FALSE))</f>
        <v/>
      </c>
    </row>
    <row r="566" spans="1:16" x14ac:dyDescent="0.25">
      <c r="A566" t="s">
        <v>961</v>
      </c>
      <c r="B566">
        <v>296</v>
      </c>
      <c r="C566" t="s">
        <v>962</v>
      </c>
      <c r="D566" s="10">
        <v>2117611.35</v>
      </c>
      <c r="F566" s="10">
        <v>272118.40999999997</v>
      </c>
      <c r="H566" s="10">
        <v>90297.53</v>
      </c>
      <c r="I566" t="s">
        <v>35</v>
      </c>
      <c r="J566" s="10">
        <v>2299432.23</v>
      </c>
      <c r="L566" s="1">
        <f t="shared" si="8"/>
        <v>2299432.23</v>
      </c>
      <c r="N566" s="6" t="str">
        <f>IF(ISERROR(VLOOKUP($A566,'Plano de Contas'!#REF!,8,FALSE)),"",VLOOKUP($A566,'Plano de Contas'!#REF!,8,FALSE))</f>
        <v/>
      </c>
      <c r="P566" s="6" t="str">
        <f>IF(ISERROR(VLOOKUP($A566,'Plano de Contas'!#REF!,10,FALSE)),"",VLOOKUP($A566,'Plano de Contas'!#REF!,10,FALSE))</f>
        <v/>
      </c>
    </row>
    <row r="567" spans="1:16" x14ac:dyDescent="0.25">
      <c r="L567" s="1">
        <f t="shared" si="8"/>
        <v>0</v>
      </c>
      <c r="N567" s="6" t="str">
        <f>IF(ISERROR(VLOOKUP($A567,'Plano de Contas'!#REF!,8,FALSE)),"",VLOOKUP($A567,'Plano de Contas'!#REF!,8,FALSE))</f>
        <v/>
      </c>
      <c r="P567" s="6" t="str">
        <f>IF(ISERROR(VLOOKUP($A567,'Plano de Contas'!#REF!,10,FALSE)),"",VLOOKUP($A567,'Plano de Contas'!#REF!,10,FALSE))</f>
        <v/>
      </c>
    </row>
    <row r="568" spans="1:16" x14ac:dyDescent="0.25">
      <c r="A568">
        <v>4</v>
      </c>
      <c r="B568">
        <v>306</v>
      </c>
      <c r="C568" t="s">
        <v>963</v>
      </c>
      <c r="D568" s="10">
        <v>325942.09999999998</v>
      </c>
      <c r="F568">
        <v>0</v>
      </c>
      <c r="H568">
        <v>0</v>
      </c>
      <c r="J568" s="10">
        <v>325942.09999999998</v>
      </c>
      <c r="L568" s="1">
        <f t="shared" si="8"/>
        <v>325942.09999999998</v>
      </c>
      <c r="N568" s="6" t="str">
        <f>IF(ISERROR(VLOOKUP($A568,'Plano de Contas'!#REF!,8,FALSE)),"",VLOOKUP($A568,'Plano de Contas'!#REF!,8,FALSE))</f>
        <v/>
      </c>
      <c r="P568" s="6" t="str">
        <f>IF(ISERROR(VLOOKUP($A568,'Plano de Contas'!#REF!,10,FALSE)),"",VLOOKUP($A568,'Plano de Contas'!#REF!,10,FALSE))</f>
        <v/>
      </c>
    </row>
    <row r="569" spans="1:16" x14ac:dyDescent="0.25">
      <c r="L569" s="1">
        <f t="shared" si="8"/>
        <v>0</v>
      </c>
      <c r="N569" s="6" t="str">
        <f>IF(ISERROR(VLOOKUP($A569,'Plano de Contas'!#REF!,8,FALSE)),"",VLOOKUP($A569,'Plano de Contas'!#REF!,8,FALSE))</f>
        <v/>
      </c>
      <c r="P569" s="6" t="str">
        <f>IF(ISERROR(VLOOKUP($A569,'Plano de Contas'!#REF!,10,FALSE)),"",VLOOKUP($A569,'Plano de Contas'!#REF!,10,FALSE))</f>
        <v/>
      </c>
    </row>
    <row r="570" spans="1:16" x14ac:dyDescent="0.25">
      <c r="A570" t="s">
        <v>964</v>
      </c>
      <c r="B570">
        <v>307</v>
      </c>
      <c r="C570" t="s">
        <v>965</v>
      </c>
      <c r="D570" s="10">
        <v>325942.09999999998</v>
      </c>
      <c r="F570">
        <v>0</v>
      </c>
      <c r="H570">
        <v>0</v>
      </c>
      <c r="J570" s="10">
        <v>325942.09999999998</v>
      </c>
      <c r="L570" s="1">
        <f t="shared" si="8"/>
        <v>325942.09999999998</v>
      </c>
      <c r="N570" s="6" t="str">
        <f>IF(ISERROR(VLOOKUP($A570,'Plano de Contas'!#REF!,8,FALSE)),"",VLOOKUP($A570,'Plano de Contas'!#REF!,8,FALSE))</f>
        <v/>
      </c>
      <c r="P570" s="6" t="str">
        <f>IF(ISERROR(VLOOKUP($A570,'Plano de Contas'!#REF!,10,FALSE)),"",VLOOKUP($A570,'Plano de Contas'!#REF!,10,FALSE))</f>
        <v/>
      </c>
    </row>
    <row r="571" spans="1:16" x14ac:dyDescent="0.25">
      <c r="L571" s="1">
        <f t="shared" si="8"/>
        <v>0</v>
      </c>
      <c r="N571" s="6" t="str">
        <f>IF(ISERROR(VLOOKUP($A571,'Plano de Contas'!#REF!,8,FALSE)),"",VLOOKUP($A571,'Plano de Contas'!#REF!,8,FALSE))</f>
        <v/>
      </c>
      <c r="P571" s="6" t="str">
        <f>IF(ISERROR(VLOOKUP($A571,'Plano de Contas'!#REF!,10,FALSE)),"",VLOOKUP($A571,'Plano de Contas'!#REF!,10,FALSE))</f>
        <v/>
      </c>
    </row>
    <row r="572" spans="1:16" x14ac:dyDescent="0.25">
      <c r="A572" t="s">
        <v>966</v>
      </c>
      <c r="B572">
        <v>308</v>
      </c>
      <c r="C572" t="s">
        <v>967</v>
      </c>
      <c r="D572" s="10">
        <v>325942.09999999998</v>
      </c>
      <c r="F572">
        <v>0</v>
      </c>
      <c r="H572">
        <v>0</v>
      </c>
      <c r="J572" s="10">
        <v>325942.09999999998</v>
      </c>
      <c r="L572" s="1">
        <f t="shared" si="8"/>
        <v>325942.09999999998</v>
      </c>
      <c r="N572" s="6" t="str">
        <f>IF(ISERROR(VLOOKUP($A572,'Plano de Contas'!#REF!,8,FALSE)),"",VLOOKUP($A572,'Plano de Contas'!#REF!,8,FALSE))</f>
        <v/>
      </c>
      <c r="P572" s="6" t="str">
        <f>IF(ISERROR(VLOOKUP($A572,'Plano de Contas'!#REF!,10,FALSE)),"",VLOOKUP($A572,'Plano de Contas'!#REF!,10,FALSE))</f>
        <v/>
      </c>
    </row>
    <row r="573" spans="1:16" x14ac:dyDescent="0.25">
      <c r="L573" s="1">
        <f t="shared" si="8"/>
        <v>0</v>
      </c>
      <c r="N573" s="6" t="str">
        <f>IF(ISERROR(VLOOKUP($A573,'Plano de Contas'!#REF!,8,FALSE)),"",VLOOKUP($A573,'Plano de Contas'!#REF!,8,FALSE))</f>
        <v/>
      </c>
      <c r="P573" s="6" t="str">
        <f>IF(ISERROR(VLOOKUP($A573,'Plano de Contas'!#REF!,10,FALSE)),"",VLOOKUP($A573,'Plano de Contas'!#REF!,10,FALSE))</f>
        <v/>
      </c>
    </row>
    <row r="574" spans="1:16" x14ac:dyDescent="0.25">
      <c r="A574" t="s">
        <v>968</v>
      </c>
      <c r="B574">
        <v>309</v>
      </c>
      <c r="C574" t="s">
        <v>969</v>
      </c>
      <c r="D574" s="10">
        <v>325942.09999999998</v>
      </c>
      <c r="F574">
        <v>0</v>
      </c>
      <c r="H574">
        <v>0</v>
      </c>
      <c r="J574" s="10">
        <v>325942.09999999998</v>
      </c>
      <c r="L574" s="1">
        <f t="shared" si="8"/>
        <v>325942.09999999998</v>
      </c>
      <c r="N574" s="6" t="str">
        <f>IF(ISERROR(VLOOKUP($A574,'Plano de Contas'!#REF!,8,FALSE)),"",VLOOKUP($A574,'Plano de Contas'!#REF!,8,FALSE))</f>
        <v/>
      </c>
      <c r="P574" s="6" t="str">
        <f>IF(ISERROR(VLOOKUP($A574,'Plano de Contas'!#REF!,10,FALSE)),"",VLOOKUP($A574,'Plano de Contas'!#REF!,10,FALSE))</f>
        <v/>
      </c>
    </row>
    <row r="575" spans="1:16" x14ac:dyDescent="0.25">
      <c r="A575" t="s">
        <v>970</v>
      </c>
      <c r="B575">
        <v>330</v>
      </c>
      <c r="C575" t="s">
        <v>750</v>
      </c>
      <c r="D575" s="10">
        <v>325942.09999999998</v>
      </c>
      <c r="F575">
        <v>0</v>
      </c>
      <c r="H575">
        <v>0</v>
      </c>
      <c r="J575" s="10">
        <v>325942.09999999998</v>
      </c>
      <c r="L575" s="1">
        <f t="shared" si="8"/>
        <v>325942.09999999998</v>
      </c>
      <c r="N575" s="6" t="str">
        <f>IF(ISERROR(VLOOKUP($A575,'Plano de Contas'!#REF!,8,FALSE)),"",VLOOKUP($A575,'Plano de Contas'!#REF!,8,FALSE))</f>
        <v/>
      </c>
      <c r="P575" s="6" t="str">
        <f>IF(ISERROR(VLOOKUP($A575,'Plano de Contas'!#REF!,10,FALSE)),"",VLOOKUP($A575,'Plano de Contas'!#REF!,10,FALSE))</f>
        <v/>
      </c>
    </row>
    <row r="576" spans="1:16" x14ac:dyDescent="0.25">
      <c r="L576" s="1">
        <f t="shared" si="8"/>
        <v>0</v>
      </c>
      <c r="N576" s="6" t="str">
        <f>IF(ISERROR(VLOOKUP($A576,'Plano de Contas'!#REF!,8,FALSE)),"",VLOOKUP($A576,'Plano de Contas'!#REF!,8,FALSE))</f>
        <v/>
      </c>
      <c r="P576" s="6" t="str">
        <f>IF(ISERROR(VLOOKUP($A576,'Plano de Contas'!#REF!,10,FALSE)),"",VLOOKUP($A576,'Plano de Contas'!#REF!,10,FALSE))</f>
        <v/>
      </c>
    </row>
    <row r="577" spans="1:16" x14ac:dyDescent="0.25">
      <c r="A577">
        <v>5</v>
      </c>
      <c r="B577">
        <v>310</v>
      </c>
      <c r="C577" t="s">
        <v>971</v>
      </c>
      <c r="D577" s="10">
        <v>325942.09999999998</v>
      </c>
      <c r="E577" t="s">
        <v>35</v>
      </c>
      <c r="F577">
        <v>0</v>
      </c>
      <c r="H577">
        <v>0</v>
      </c>
      <c r="J577" s="10">
        <v>325942.09999999998</v>
      </c>
      <c r="K577" t="s">
        <v>35</v>
      </c>
      <c r="L577" s="1">
        <f t="shared" si="8"/>
        <v>-325942.09999999998</v>
      </c>
      <c r="N577" s="6" t="str">
        <f>IF(ISERROR(VLOOKUP($A577,'Plano de Contas'!#REF!,8,FALSE)),"",VLOOKUP($A577,'Plano de Contas'!#REF!,8,FALSE))</f>
        <v/>
      </c>
      <c r="P577" s="6" t="str">
        <f>IF(ISERROR(VLOOKUP($A577,'Plano de Contas'!#REF!,10,FALSE)),"",VLOOKUP($A577,'Plano de Contas'!#REF!,10,FALSE))</f>
        <v/>
      </c>
    </row>
    <row r="578" spans="1:16" x14ac:dyDescent="0.25">
      <c r="L578" s="1">
        <f t="shared" si="8"/>
        <v>0</v>
      </c>
      <c r="N578" s="6" t="str">
        <f>IF(ISERROR(VLOOKUP($A578,'Plano de Contas'!#REF!,8,FALSE)),"",VLOOKUP($A578,'Plano de Contas'!#REF!,8,FALSE))</f>
        <v/>
      </c>
      <c r="P578" s="6" t="str">
        <f>IF(ISERROR(VLOOKUP($A578,'Plano de Contas'!#REF!,10,FALSE)),"",VLOOKUP($A578,'Plano de Contas'!#REF!,10,FALSE))</f>
        <v/>
      </c>
    </row>
    <row r="579" spans="1:16" x14ac:dyDescent="0.25">
      <c r="A579" t="s">
        <v>972</v>
      </c>
      <c r="B579">
        <v>311</v>
      </c>
      <c r="C579" t="s">
        <v>965</v>
      </c>
      <c r="D579" s="10">
        <v>325942.09999999998</v>
      </c>
      <c r="E579" t="s">
        <v>35</v>
      </c>
      <c r="F579">
        <v>0</v>
      </c>
      <c r="H579">
        <v>0</v>
      </c>
      <c r="J579" s="10">
        <v>325942.09999999998</v>
      </c>
      <c r="K579" t="s">
        <v>35</v>
      </c>
      <c r="L579" s="1">
        <f t="shared" si="8"/>
        <v>-325942.09999999998</v>
      </c>
      <c r="N579" s="6" t="str">
        <f>IF(ISERROR(VLOOKUP($A579,'Plano de Contas'!#REF!,8,FALSE)),"",VLOOKUP($A579,'Plano de Contas'!#REF!,8,FALSE))</f>
        <v/>
      </c>
      <c r="P579" s="6" t="str">
        <f>IF(ISERROR(VLOOKUP($A579,'Plano de Contas'!#REF!,10,FALSE)),"",VLOOKUP($A579,'Plano de Contas'!#REF!,10,FALSE))</f>
        <v/>
      </c>
    </row>
    <row r="580" spans="1:16" x14ac:dyDescent="0.25">
      <c r="L580" s="1">
        <f t="shared" si="8"/>
        <v>0</v>
      </c>
      <c r="N580" s="6" t="str">
        <f>IF(ISERROR(VLOOKUP($A580,'Plano de Contas'!#REF!,8,FALSE)),"",VLOOKUP($A580,'Plano de Contas'!#REF!,8,FALSE))</f>
        <v/>
      </c>
      <c r="P580" s="6" t="str">
        <f>IF(ISERROR(VLOOKUP($A580,'Plano de Contas'!#REF!,10,FALSE)),"",VLOOKUP($A580,'Plano de Contas'!#REF!,10,FALSE))</f>
        <v/>
      </c>
    </row>
    <row r="581" spans="1:16" x14ac:dyDescent="0.25">
      <c r="A581" t="s">
        <v>973</v>
      </c>
      <c r="B581">
        <v>312</v>
      </c>
      <c r="C581" t="s">
        <v>967</v>
      </c>
      <c r="D581" s="10">
        <v>325942.09999999998</v>
      </c>
      <c r="E581" t="s">
        <v>35</v>
      </c>
      <c r="F581">
        <v>0</v>
      </c>
      <c r="H581">
        <v>0</v>
      </c>
      <c r="J581" s="10">
        <v>325942.09999999998</v>
      </c>
      <c r="K581" t="s">
        <v>35</v>
      </c>
      <c r="L581" s="1">
        <f t="shared" si="8"/>
        <v>-325942.09999999998</v>
      </c>
      <c r="N581" s="6" t="str">
        <f>IF(ISERROR(VLOOKUP($A581,'Plano de Contas'!#REF!,8,FALSE)),"",VLOOKUP($A581,'Plano de Contas'!#REF!,8,FALSE))</f>
        <v/>
      </c>
      <c r="P581" s="6" t="str">
        <f>IF(ISERROR(VLOOKUP($A581,'Plano de Contas'!#REF!,10,FALSE)),"",VLOOKUP($A581,'Plano de Contas'!#REF!,10,FALSE))</f>
        <v/>
      </c>
    </row>
    <row r="582" spans="1:16" x14ac:dyDescent="0.25">
      <c r="L582" s="1">
        <f t="shared" si="8"/>
        <v>0</v>
      </c>
      <c r="N582" s="6" t="str">
        <f>IF(ISERROR(VLOOKUP($A582,'Plano de Contas'!#REF!,8,FALSE)),"",VLOOKUP($A582,'Plano de Contas'!#REF!,8,FALSE))</f>
        <v/>
      </c>
      <c r="P582" s="6" t="str">
        <f>IF(ISERROR(VLOOKUP($A582,'Plano de Contas'!#REF!,10,FALSE)),"",VLOOKUP($A582,'Plano de Contas'!#REF!,10,FALSE))</f>
        <v/>
      </c>
    </row>
    <row r="583" spans="1:16" x14ac:dyDescent="0.25">
      <c r="A583" t="s">
        <v>974</v>
      </c>
      <c r="B583">
        <v>313</v>
      </c>
      <c r="C583" t="s">
        <v>969</v>
      </c>
      <c r="D583" s="10">
        <v>325942.09999999998</v>
      </c>
      <c r="E583" t="s">
        <v>35</v>
      </c>
      <c r="F583">
        <v>0</v>
      </c>
      <c r="H583">
        <v>0</v>
      </c>
      <c r="J583" s="10">
        <v>325942.09999999998</v>
      </c>
      <c r="K583" t="s">
        <v>35</v>
      </c>
      <c r="L583" s="1">
        <f t="shared" si="8"/>
        <v>-325942.09999999998</v>
      </c>
      <c r="N583" s="6" t="str">
        <f>IF(ISERROR(VLOOKUP($A583,'Plano de Contas'!#REF!,8,FALSE)),"",VLOOKUP($A583,'Plano de Contas'!#REF!,8,FALSE))</f>
        <v/>
      </c>
      <c r="P583" s="6" t="str">
        <f>IF(ISERROR(VLOOKUP($A583,'Plano de Contas'!#REF!,10,FALSE)),"",VLOOKUP($A583,'Plano de Contas'!#REF!,10,FALSE))</f>
        <v/>
      </c>
    </row>
    <row r="584" spans="1:16" x14ac:dyDescent="0.25">
      <c r="A584" t="s">
        <v>975</v>
      </c>
      <c r="B584">
        <v>331</v>
      </c>
      <c r="C584" t="s">
        <v>750</v>
      </c>
      <c r="D584" s="10">
        <v>325942.09999999998</v>
      </c>
      <c r="E584" t="s">
        <v>35</v>
      </c>
      <c r="F584">
        <v>0</v>
      </c>
      <c r="H584">
        <v>0</v>
      </c>
      <c r="J584" s="10">
        <v>325942.09999999998</v>
      </c>
      <c r="K584" t="s">
        <v>35</v>
      </c>
      <c r="L584" s="1">
        <f t="shared" ref="L584:L651" si="9">IF(K584="-",-J584,J584)</f>
        <v>-325942.09999999998</v>
      </c>
      <c r="N584" s="6" t="str">
        <f>IF(ISERROR(VLOOKUP($A584,'Plano de Contas'!#REF!,8,FALSE)),"",VLOOKUP($A584,'Plano de Contas'!#REF!,8,FALSE))</f>
        <v/>
      </c>
      <c r="P584" s="6" t="str">
        <f>IF(ISERROR(VLOOKUP($A584,'Plano de Contas'!#REF!,10,FALSE)),"",VLOOKUP($A584,'Plano de Contas'!#REF!,10,FALSE))</f>
        <v/>
      </c>
    </row>
    <row r="585" spans="1:16" x14ac:dyDescent="0.25">
      <c r="L585" s="1">
        <f t="shared" si="9"/>
        <v>0</v>
      </c>
      <c r="N585" s="6" t="str">
        <f>IF(ISERROR(VLOOKUP($A585,'Plano de Contas'!#REF!,8,FALSE)),"",VLOOKUP($A585,'Plano de Contas'!#REF!,8,FALSE))</f>
        <v/>
      </c>
      <c r="P585" s="6" t="str">
        <f>IF(ISERROR(VLOOKUP($A585,'Plano de Contas'!#REF!,10,FALSE)),"",VLOOKUP($A585,'Plano de Contas'!#REF!,10,FALSE))</f>
        <v/>
      </c>
    </row>
    <row r="586" spans="1:16" x14ac:dyDescent="0.25">
      <c r="C586" t="s">
        <v>976</v>
      </c>
      <c r="D586" t="s">
        <v>977</v>
      </c>
      <c r="E586">
        <v>9</v>
      </c>
      <c r="F586" s="10">
        <v>9005804.5500000007</v>
      </c>
      <c r="L586" s="1">
        <f t="shared" si="9"/>
        <v>0</v>
      </c>
      <c r="N586" s="6" t="str">
        <f>IF(ISERROR(VLOOKUP($A586,'Plano de Contas'!#REF!,8,FALSE)),"",VLOOKUP($A586,'Plano de Contas'!#REF!,8,FALSE))</f>
        <v/>
      </c>
      <c r="P586" s="6" t="str">
        <f>IF(ISERROR(VLOOKUP($A586,'Plano de Contas'!#REF!,10,FALSE)),"",VLOOKUP($A586,'Plano de Contas'!#REF!,10,FALSE))</f>
        <v/>
      </c>
    </row>
    <row r="587" spans="1:16" x14ac:dyDescent="0.25">
      <c r="C587" t="s">
        <v>978</v>
      </c>
      <c r="D587" t="s">
        <v>977</v>
      </c>
      <c r="E587">
        <v>9</v>
      </c>
      <c r="F587" s="10">
        <v>-9005804.5500000007</v>
      </c>
      <c r="L587" s="1">
        <f t="shared" si="9"/>
        <v>0</v>
      </c>
      <c r="N587" s="6" t="str">
        <f>IF(ISERROR(VLOOKUP($A587,'Plano de Contas'!#REF!,8,FALSE)),"",VLOOKUP($A587,'Plano de Contas'!#REF!,8,FALSE))</f>
        <v/>
      </c>
      <c r="P587" s="6" t="str">
        <f>IF(ISERROR(VLOOKUP($A587,'Plano de Contas'!#REF!,10,FALSE)),"",VLOOKUP($A587,'Plano de Contas'!#REF!,10,FALSE))</f>
        <v/>
      </c>
    </row>
    <row r="588" spans="1:16" x14ac:dyDescent="0.25">
      <c r="L588" s="1">
        <f t="shared" si="9"/>
        <v>0</v>
      </c>
      <c r="N588" s="6" t="str">
        <f>IF(ISERROR(VLOOKUP($A588,'Plano de Contas'!#REF!,8,FALSE)),"",VLOOKUP($A588,'Plano de Contas'!#REF!,8,FALSE))</f>
        <v/>
      </c>
      <c r="P588" s="6" t="str">
        <f>IF(ISERROR(VLOOKUP($A588,'Plano de Contas'!#REF!,10,FALSE)),"",VLOOKUP($A588,'Plano de Contas'!#REF!,10,FALSE))</f>
        <v/>
      </c>
    </row>
    <row r="589" spans="1:16" x14ac:dyDescent="0.25">
      <c r="L589" s="1">
        <f t="shared" si="9"/>
        <v>0</v>
      </c>
      <c r="N589" s="6" t="str">
        <f>IF(ISERROR(VLOOKUP($A589,'Plano de Contas'!#REF!,8,FALSE)),"",VLOOKUP($A589,'Plano de Contas'!#REF!,8,FALSE))</f>
        <v/>
      </c>
      <c r="P589" s="6" t="str">
        <f>IF(ISERROR(VLOOKUP($A589,'Plano de Contas'!#REF!,10,FALSE)),"",VLOOKUP($A589,'Plano de Contas'!#REF!,10,FALSE))</f>
        <v/>
      </c>
    </row>
    <row r="590" spans="1:16" x14ac:dyDescent="0.25">
      <c r="L590" s="1">
        <f t="shared" si="9"/>
        <v>0</v>
      </c>
      <c r="N590" s="6" t="str">
        <f>IF(ISERROR(VLOOKUP($A590,'Plano de Contas'!#REF!,8,FALSE)),"",VLOOKUP($A590,'Plano de Contas'!#REF!,8,FALSE))</f>
        <v/>
      </c>
      <c r="P590" s="6" t="str">
        <f>IF(ISERROR(VLOOKUP($A590,'Plano de Contas'!#REF!,10,FALSE)),"",VLOOKUP($A590,'Plano de Contas'!#REF!,10,FALSE))</f>
        <v/>
      </c>
    </row>
    <row r="591" spans="1:16" x14ac:dyDescent="0.25">
      <c r="L591" s="1">
        <f t="shared" si="9"/>
        <v>0</v>
      </c>
      <c r="N591" s="6" t="str">
        <f>IF(ISERROR(VLOOKUP($A591,'Plano de Contas'!#REF!,8,FALSE)),"",VLOOKUP($A591,'Plano de Contas'!#REF!,8,FALSE))</f>
        <v/>
      </c>
      <c r="P591" s="6" t="str">
        <f>IF(ISERROR(VLOOKUP($A591,'Plano de Contas'!#REF!,10,FALSE)),"",VLOOKUP($A591,'Plano de Contas'!#REF!,10,FALSE))</f>
        <v/>
      </c>
    </row>
    <row r="592" spans="1:16" x14ac:dyDescent="0.25">
      <c r="L592" s="1">
        <f t="shared" si="9"/>
        <v>0</v>
      </c>
      <c r="N592" s="6" t="str">
        <f>IF(ISERROR(VLOOKUP($A592,'Plano de Contas'!#REF!,8,FALSE)),"",VLOOKUP($A592,'Plano de Contas'!#REF!,8,FALSE))</f>
        <v/>
      </c>
      <c r="P592" s="6" t="str">
        <f>IF(ISERROR(VLOOKUP($A592,'Plano de Contas'!#REF!,10,FALSE)),"",VLOOKUP($A592,'Plano de Contas'!#REF!,10,FALSE))</f>
        <v/>
      </c>
    </row>
    <row r="593" spans="12:16" x14ac:dyDescent="0.25">
      <c r="L593" s="1">
        <f t="shared" si="9"/>
        <v>0</v>
      </c>
      <c r="N593" s="6" t="str">
        <f>IF(ISERROR(VLOOKUP($A593,'Plano de Contas'!#REF!,8,FALSE)),"",VLOOKUP($A593,'Plano de Contas'!#REF!,8,FALSE))</f>
        <v/>
      </c>
      <c r="P593" s="6" t="str">
        <f>IF(ISERROR(VLOOKUP($A593,'Plano de Contas'!#REF!,10,FALSE)),"",VLOOKUP($A593,'Plano de Contas'!#REF!,10,FALSE))</f>
        <v/>
      </c>
    </row>
    <row r="594" spans="12:16" x14ac:dyDescent="0.25">
      <c r="L594" s="1">
        <f t="shared" si="9"/>
        <v>0</v>
      </c>
      <c r="N594" s="6" t="str">
        <f>IF(ISERROR(VLOOKUP($A594,'Plano de Contas'!#REF!,8,FALSE)),"",VLOOKUP($A594,'Plano de Contas'!#REF!,8,FALSE))</f>
        <v/>
      </c>
      <c r="P594" s="6" t="str">
        <f>IF(ISERROR(VLOOKUP($A594,'Plano de Contas'!#REF!,10,FALSE)),"",VLOOKUP($A594,'Plano de Contas'!#REF!,10,FALSE))</f>
        <v/>
      </c>
    </row>
    <row r="595" spans="12:16" x14ac:dyDescent="0.25">
      <c r="L595" s="1">
        <f t="shared" si="9"/>
        <v>0</v>
      </c>
      <c r="N595" s="6" t="str">
        <f>IF(ISERROR(VLOOKUP($A595,'Plano de Contas'!#REF!,8,FALSE)),"",VLOOKUP($A595,'Plano de Contas'!#REF!,8,FALSE))</f>
        <v/>
      </c>
      <c r="P595" s="6" t="str">
        <f>IF(ISERROR(VLOOKUP($A595,'Plano de Contas'!#REF!,10,FALSE)),"",VLOOKUP($A595,'Plano de Contas'!#REF!,10,FALSE))</f>
        <v/>
      </c>
    </row>
    <row r="596" spans="12:16" x14ac:dyDescent="0.25">
      <c r="L596" s="1">
        <f t="shared" si="9"/>
        <v>0</v>
      </c>
      <c r="N596" s="6" t="str">
        <f>IF(ISERROR(VLOOKUP($A596,'Plano de Contas'!#REF!,8,FALSE)),"",VLOOKUP($A596,'Plano de Contas'!#REF!,8,FALSE))</f>
        <v/>
      </c>
      <c r="P596" s="6" t="str">
        <f>IF(ISERROR(VLOOKUP($A596,'Plano de Contas'!#REF!,10,FALSE)),"",VLOOKUP($A596,'Plano de Contas'!#REF!,10,FALSE))</f>
        <v/>
      </c>
    </row>
    <row r="597" spans="12:16" x14ac:dyDescent="0.25">
      <c r="L597" s="1">
        <f t="shared" si="9"/>
        <v>0</v>
      </c>
      <c r="N597" s="6" t="str">
        <f>IF(ISERROR(VLOOKUP($A597,'Plano de Contas'!#REF!,8,FALSE)),"",VLOOKUP($A597,'Plano de Contas'!#REF!,8,FALSE))</f>
        <v/>
      </c>
      <c r="P597" s="6" t="str">
        <f>IF(ISERROR(VLOOKUP($A597,'Plano de Contas'!#REF!,10,FALSE)),"",VLOOKUP($A597,'Plano de Contas'!#REF!,10,FALSE))</f>
        <v/>
      </c>
    </row>
    <row r="598" spans="12:16" x14ac:dyDescent="0.25">
      <c r="L598" s="1">
        <f t="shared" si="9"/>
        <v>0</v>
      </c>
      <c r="N598" s="6" t="str">
        <f>IF(ISERROR(VLOOKUP($A598,'Plano de Contas'!#REF!,8,FALSE)),"",VLOOKUP($A598,'Plano de Contas'!#REF!,8,FALSE))</f>
        <v/>
      </c>
      <c r="P598" s="6" t="str">
        <f>IF(ISERROR(VLOOKUP($A598,'Plano de Contas'!#REF!,10,FALSE)),"",VLOOKUP($A598,'Plano de Contas'!#REF!,10,FALSE))</f>
        <v/>
      </c>
    </row>
    <row r="599" spans="12:16" x14ac:dyDescent="0.25">
      <c r="L599" s="1">
        <f t="shared" si="9"/>
        <v>0</v>
      </c>
      <c r="N599" s="6" t="str">
        <f>IF(ISERROR(VLOOKUP($A599,'Plano de Contas'!#REF!,8,FALSE)),"",VLOOKUP($A599,'Plano de Contas'!#REF!,8,FALSE))</f>
        <v/>
      </c>
      <c r="P599" s="6" t="str">
        <f>IF(ISERROR(VLOOKUP($A599,'Plano de Contas'!#REF!,10,FALSE)),"",VLOOKUP($A599,'Plano de Contas'!#REF!,10,FALSE))</f>
        <v/>
      </c>
    </row>
    <row r="600" spans="12:16" x14ac:dyDescent="0.25">
      <c r="L600" s="1">
        <f t="shared" si="9"/>
        <v>0</v>
      </c>
      <c r="N600" s="6" t="str">
        <f>IF(ISERROR(VLOOKUP($A600,'Plano de Contas'!#REF!,8,FALSE)),"",VLOOKUP($A600,'Plano de Contas'!#REF!,8,FALSE))</f>
        <v/>
      </c>
      <c r="P600" s="6" t="str">
        <f>IF(ISERROR(VLOOKUP($A600,'Plano de Contas'!#REF!,10,FALSE)),"",VLOOKUP($A600,'Plano de Contas'!#REF!,10,FALSE))</f>
        <v/>
      </c>
    </row>
    <row r="601" spans="12:16" x14ac:dyDescent="0.25">
      <c r="L601" s="1">
        <f t="shared" si="9"/>
        <v>0</v>
      </c>
      <c r="N601" s="6" t="str">
        <f>IF(ISERROR(VLOOKUP($A601,'Plano de Contas'!#REF!,8,FALSE)),"",VLOOKUP($A601,'Plano de Contas'!#REF!,8,FALSE))</f>
        <v/>
      </c>
      <c r="P601" s="6" t="str">
        <f>IF(ISERROR(VLOOKUP($A601,'Plano de Contas'!#REF!,10,FALSE)),"",VLOOKUP($A601,'Plano de Contas'!#REF!,10,FALSE))</f>
        <v/>
      </c>
    </row>
    <row r="602" spans="12:16" x14ac:dyDescent="0.25">
      <c r="L602" s="1">
        <f t="shared" si="9"/>
        <v>0</v>
      </c>
      <c r="N602" s="6" t="str">
        <f>IF(ISERROR(VLOOKUP($A602,'Plano de Contas'!#REF!,8,FALSE)),"",VLOOKUP($A602,'Plano de Contas'!#REF!,8,FALSE))</f>
        <v/>
      </c>
      <c r="P602" s="6" t="str">
        <f>IF(ISERROR(VLOOKUP($A602,'Plano de Contas'!#REF!,10,FALSE)),"",VLOOKUP($A602,'Plano de Contas'!#REF!,10,FALSE))</f>
        <v/>
      </c>
    </row>
    <row r="603" spans="12:16" x14ac:dyDescent="0.25">
      <c r="L603" s="1">
        <f t="shared" si="9"/>
        <v>0</v>
      </c>
      <c r="N603" s="6" t="str">
        <f>IF(ISERROR(VLOOKUP($A603,'Plano de Contas'!#REF!,8,FALSE)),"",VLOOKUP($A603,'Plano de Contas'!#REF!,8,FALSE))</f>
        <v/>
      </c>
      <c r="P603" s="6" t="str">
        <f>IF(ISERROR(VLOOKUP($A603,'Plano de Contas'!#REF!,10,FALSE)),"",VLOOKUP($A603,'Plano de Contas'!#REF!,10,FALSE))</f>
        <v/>
      </c>
    </row>
    <row r="604" spans="12:16" x14ac:dyDescent="0.25">
      <c r="L604" s="1">
        <f t="shared" si="9"/>
        <v>0</v>
      </c>
      <c r="N604" s="6" t="str">
        <f>IF(ISERROR(VLOOKUP($A604,'Plano de Contas'!#REF!,8,FALSE)),"",VLOOKUP($A604,'Plano de Contas'!#REF!,8,FALSE))</f>
        <v/>
      </c>
      <c r="P604" s="6" t="str">
        <f>IF(ISERROR(VLOOKUP($A604,'Plano de Contas'!#REF!,10,FALSE)),"",VLOOKUP($A604,'Plano de Contas'!#REF!,10,FALSE))</f>
        <v/>
      </c>
    </row>
    <row r="605" spans="12:16" x14ac:dyDescent="0.25">
      <c r="L605" s="1">
        <f t="shared" si="9"/>
        <v>0</v>
      </c>
      <c r="N605" s="6" t="str">
        <f>IF(ISERROR(VLOOKUP($A605,'Plano de Contas'!#REF!,8,FALSE)),"",VLOOKUP($A605,'Plano de Contas'!#REF!,8,FALSE))</f>
        <v/>
      </c>
      <c r="P605" s="6" t="str">
        <f>IF(ISERROR(VLOOKUP($A605,'Plano de Contas'!#REF!,10,FALSE)),"",VLOOKUP($A605,'Plano de Contas'!#REF!,10,FALSE))</f>
        <v/>
      </c>
    </row>
    <row r="606" spans="12:16" x14ac:dyDescent="0.25">
      <c r="L606" s="1">
        <f t="shared" si="9"/>
        <v>0</v>
      </c>
      <c r="N606" s="6" t="str">
        <f>IF(ISERROR(VLOOKUP($A606,'Plano de Contas'!#REF!,8,FALSE)),"",VLOOKUP($A606,'Plano de Contas'!#REF!,8,FALSE))</f>
        <v/>
      </c>
      <c r="P606" s="6" t="str">
        <f>IF(ISERROR(VLOOKUP($A606,'Plano de Contas'!#REF!,10,FALSE)),"",VLOOKUP($A606,'Plano de Contas'!#REF!,10,FALSE))</f>
        <v/>
      </c>
    </row>
    <row r="607" spans="12:16" x14ac:dyDescent="0.25">
      <c r="L607" s="1">
        <f t="shared" si="9"/>
        <v>0</v>
      </c>
      <c r="N607" s="6" t="str">
        <f>IF(ISERROR(VLOOKUP($A607,'Plano de Contas'!#REF!,8,FALSE)),"",VLOOKUP($A607,'Plano de Contas'!#REF!,8,FALSE))</f>
        <v/>
      </c>
      <c r="P607" s="6" t="str">
        <f>IF(ISERROR(VLOOKUP($A607,'Plano de Contas'!#REF!,10,FALSE)),"",VLOOKUP($A607,'Plano de Contas'!#REF!,10,FALSE))</f>
        <v/>
      </c>
    </row>
    <row r="608" spans="12:16" x14ac:dyDescent="0.25">
      <c r="L608" s="1">
        <f t="shared" si="9"/>
        <v>0</v>
      </c>
      <c r="N608" s="6" t="str">
        <f>IF(ISERROR(VLOOKUP($A608,'Plano de Contas'!#REF!,8,FALSE)),"",VLOOKUP($A608,'Plano de Contas'!#REF!,8,FALSE))</f>
        <v/>
      </c>
      <c r="P608" s="6" t="str">
        <f>IF(ISERROR(VLOOKUP($A608,'Plano de Contas'!#REF!,10,FALSE)),"",VLOOKUP($A608,'Plano de Contas'!#REF!,10,FALSE))</f>
        <v/>
      </c>
    </row>
    <row r="609" spans="12:16" x14ac:dyDescent="0.25">
      <c r="L609" s="1">
        <f t="shared" si="9"/>
        <v>0</v>
      </c>
      <c r="N609" s="6" t="str">
        <f>IF(ISERROR(VLOOKUP($A609,'Plano de Contas'!#REF!,8,FALSE)),"",VLOOKUP($A609,'Plano de Contas'!#REF!,8,FALSE))</f>
        <v/>
      </c>
      <c r="P609" s="6" t="str">
        <f>IF(ISERROR(VLOOKUP($A609,'Plano de Contas'!#REF!,10,FALSE)),"",VLOOKUP($A609,'Plano de Contas'!#REF!,10,FALSE))</f>
        <v/>
      </c>
    </row>
    <row r="610" spans="12:16" x14ac:dyDescent="0.25">
      <c r="L610" s="1">
        <f t="shared" si="9"/>
        <v>0</v>
      </c>
      <c r="N610" s="6" t="str">
        <f>IF(ISERROR(VLOOKUP($A610,'Plano de Contas'!#REF!,8,FALSE)),"",VLOOKUP($A610,'Plano de Contas'!#REF!,8,FALSE))</f>
        <v/>
      </c>
      <c r="P610" s="6" t="str">
        <f>IF(ISERROR(VLOOKUP($A610,'Plano de Contas'!#REF!,10,FALSE)),"",VLOOKUP($A610,'Plano de Contas'!#REF!,10,FALSE))</f>
        <v/>
      </c>
    </row>
    <row r="611" spans="12:16" x14ac:dyDescent="0.25">
      <c r="L611" s="1">
        <f t="shared" si="9"/>
        <v>0</v>
      </c>
      <c r="N611" s="6" t="str">
        <f>IF(ISERROR(VLOOKUP($A611,'Plano de Contas'!#REF!,8,FALSE)),"",VLOOKUP($A611,'Plano de Contas'!#REF!,8,FALSE))</f>
        <v/>
      </c>
      <c r="P611" s="6" t="str">
        <f>IF(ISERROR(VLOOKUP($A611,'Plano de Contas'!#REF!,10,FALSE)),"",VLOOKUP($A611,'Plano de Contas'!#REF!,10,FALSE))</f>
        <v/>
      </c>
    </row>
    <row r="612" spans="12:16" x14ac:dyDescent="0.25">
      <c r="L612" s="1">
        <f t="shared" si="9"/>
        <v>0</v>
      </c>
      <c r="N612" s="6" t="str">
        <f>IF(ISERROR(VLOOKUP($A612,'Plano de Contas'!#REF!,8,FALSE)),"",VLOOKUP($A612,'Plano de Contas'!#REF!,8,FALSE))</f>
        <v/>
      </c>
      <c r="P612" s="6" t="str">
        <f>IF(ISERROR(VLOOKUP($A612,'Plano de Contas'!#REF!,10,FALSE)),"",VLOOKUP($A612,'Plano de Contas'!#REF!,10,FALSE))</f>
        <v/>
      </c>
    </row>
    <row r="613" spans="12:16" x14ac:dyDescent="0.25">
      <c r="L613" s="1">
        <f t="shared" si="9"/>
        <v>0</v>
      </c>
      <c r="N613" s="6" t="str">
        <f>IF(ISERROR(VLOOKUP($A613,'Plano de Contas'!#REF!,8,FALSE)),"",VLOOKUP($A613,'Plano de Contas'!#REF!,8,FALSE))</f>
        <v/>
      </c>
      <c r="P613" s="6" t="str">
        <f>IF(ISERROR(VLOOKUP($A613,'Plano de Contas'!#REF!,10,FALSE)),"",VLOOKUP($A613,'Plano de Contas'!#REF!,10,FALSE))</f>
        <v/>
      </c>
    </row>
    <row r="614" spans="12:16" x14ac:dyDescent="0.25">
      <c r="L614" s="1">
        <f t="shared" si="9"/>
        <v>0</v>
      </c>
      <c r="N614" s="6" t="str">
        <f>IF(ISERROR(VLOOKUP($A614,'Plano de Contas'!#REF!,8,FALSE)),"",VLOOKUP($A614,'Plano de Contas'!#REF!,8,FALSE))</f>
        <v/>
      </c>
      <c r="P614" s="6" t="str">
        <f>IF(ISERROR(VLOOKUP($A614,'Plano de Contas'!#REF!,10,FALSE)),"",VLOOKUP($A614,'Plano de Contas'!#REF!,10,FALSE))</f>
        <v/>
      </c>
    </row>
    <row r="615" spans="12:16" x14ac:dyDescent="0.25">
      <c r="L615" s="1">
        <f t="shared" si="9"/>
        <v>0</v>
      </c>
      <c r="N615" s="6" t="str">
        <f>IF(ISERROR(VLOOKUP($A615,'Plano de Contas'!#REF!,8,FALSE)),"",VLOOKUP($A615,'Plano de Contas'!#REF!,8,FALSE))</f>
        <v/>
      </c>
      <c r="P615" s="6" t="str">
        <f>IF(ISERROR(VLOOKUP($A615,'Plano de Contas'!#REF!,10,FALSE)),"",VLOOKUP($A615,'Plano de Contas'!#REF!,10,FALSE))</f>
        <v/>
      </c>
    </row>
    <row r="616" spans="12:16" x14ac:dyDescent="0.25">
      <c r="L616" s="1">
        <f t="shared" si="9"/>
        <v>0</v>
      </c>
      <c r="N616" s="6" t="str">
        <f>IF(ISERROR(VLOOKUP($A616,'Plano de Contas'!#REF!,8,FALSE)),"",VLOOKUP($A616,'Plano de Contas'!#REF!,8,FALSE))</f>
        <v/>
      </c>
      <c r="P616" s="6" t="str">
        <f>IF(ISERROR(VLOOKUP($A616,'Plano de Contas'!#REF!,10,FALSE)),"",VLOOKUP($A616,'Plano de Contas'!#REF!,10,FALSE))</f>
        <v/>
      </c>
    </row>
    <row r="617" spans="12:16" x14ac:dyDescent="0.25">
      <c r="L617" s="1">
        <f t="shared" si="9"/>
        <v>0</v>
      </c>
      <c r="N617" s="6" t="str">
        <f>IF(ISERROR(VLOOKUP($A617,'Plano de Contas'!#REF!,8,FALSE)),"",VLOOKUP($A617,'Plano de Contas'!#REF!,8,FALSE))</f>
        <v/>
      </c>
      <c r="P617" s="6" t="str">
        <f>IF(ISERROR(VLOOKUP($A617,'Plano de Contas'!#REF!,10,FALSE)),"",VLOOKUP($A617,'Plano de Contas'!#REF!,10,FALSE))</f>
        <v/>
      </c>
    </row>
    <row r="618" spans="12:16" x14ac:dyDescent="0.25">
      <c r="L618" s="1">
        <f t="shared" si="9"/>
        <v>0</v>
      </c>
      <c r="N618" s="6" t="str">
        <f>IF(ISERROR(VLOOKUP($A618,'Plano de Contas'!#REF!,8,FALSE)),"",VLOOKUP($A618,'Plano de Contas'!#REF!,8,FALSE))</f>
        <v/>
      </c>
      <c r="P618" s="6" t="str">
        <f>IF(ISERROR(VLOOKUP($A618,'Plano de Contas'!#REF!,10,FALSE)),"",VLOOKUP($A618,'Plano de Contas'!#REF!,10,FALSE))</f>
        <v/>
      </c>
    </row>
    <row r="619" spans="12:16" x14ac:dyDescent="0.25">
      <c r="L619" s="1">
        <f t="shared" si="9"/>
        <v>0</v>
      </c>
      <c r="N619" s="6" t="str">
        <f>IF(ISERROR(VLOOKUP($A619,'Plano de Contas'!#REF!,8,FALSE)),"",VLOOKUP($A619,'Plano de Contas'!#REF!,8,FALSE))</f>
        <v/>
      </c>
      <c r="P619" s="6" t="str">
        <f>IF(ISERROR(VLOOKUP($A619,'Plano de Contas'!#REF!,10,FALSE)),"",VLOOKUP($A619,'Plano de Contas'!#REF!,10,FALSE))</f>
        <v/>
      </c>
    </row>
    <row r="620" spans="12:16" x14ac:dyDescent="0.25">
      <c r="L620" s="1">
        <f t="shared" si="9"/>
        <v>0</v>
      </c>
      <c r="N620" s="6" t="str">
        <f>IF(ISERROR(VLOOKUP($A620,'Plano de Contas'!#REF!,8,FALSE)),"",VLOOKUP($A620,'Plano de Contas'!#REF!,8,FALSE))</f>
        <v/>
      </c>
      <c r="P620" s="6" t="str">
        <f>IF(ISERROR(VLOOKUP($A620,'Plano de Contas'!#REF!,10,FALSE)),"",VLOOKUP($A620,'Plano de Contas'!#REF!,10,FALSE))</f>
        <v/>
      </c>
    </row>
    <row r="621" spans="12:16" x14ac:dyDescent="0.25">
      <c r="L621" s="1">
        <f t="shared" si="9"/>
        <v>0</v>
      </c>
      <c r="N621" s="6" t="str">
        <f>IF(ISERROR(VLOOKUP($A621,'Plano de Contas'!#REF!,8,FALSE)),"",VLOOKUP($A621,'Plano de Contas'!#REF!,8,FALSE))</f>
        <v/>
      </c>
      <c r="P621" s="6" t="str">
        <f>IF(ISERROR(VLOOKUP($A621,'Plano de Contas'!#REF!,10,FALSE)),"",VLOOKUP($A621,'Plano de Contas'!#REF!,10,FALSE))</f>
        <v/>
      </c>
    </row>
    <row r="622" spans="12:16" x14ac:dyDescent="0.25">
      <c r="L622" s="1">
        <f t="shared" si="9"/>
        <v>0</v>
      </c>
      <c r="N622" s="6" t="str">
        <f>IF(ISERROR(VLOOKUP($A622,'Plano de Contas'!#REF!,8,FALSE)),"",VLOOKUP($A622,'Plano de Contas'!#REF!,8,FALSE))</f>
        <v/>
      </c>
      <c r="P622" s="6" t="str">
        <f>IF(ISERROR(VLOOKUP($A622,'Plano de Contas'!#REF!,10,FALSE)),"",VLOOKUP($A622,'Plano de Contas'!#REF!,10,FALSE))</f>
        <v/>
      </c>
    </row>
    <row r="623" spans="12:16" x14ac:dyDescent="0.25">
      <c r="L623" s="1">
        <f t="shared" si="9"/>
        <v>0</v>
      </c>
      <c r="N623" s="6" t="str">
        <f>IF(ISERROR(VLOOKUP($A623,'Plano de Contas'!#REF!,8,FALSE)),"",VLOOKUP($A623,'Plano de Contas'!#REF!,8,FALSE))</f>
        <v/>
      </c>
      <c r="P623" s="6" t="str">
        <f>IF(ISERROR(VLOOKUP($A623,'Plano de Contas'!#REF!,10,FALSE)),"",VLOOKUP($A623,'Plano de Contas'!#REF!,10,FALSE))</f>
        <v/>
      </c>
    </row>
    <row r="624" spans="12:16" x14ac:dyDescent="0.25">
      <c r="L624" s="1">
        <f t="shared" si="9"/>
        <v>0</v>
      </c>
      <c r="N624" s="6" t="str">
        <f>IF(ISERROR(VLOOKUP($A624,'Plano de Contas'!#REF!,8,FALSE)),"",VLOOKUP($A624,'Plano de Contas'!#REF!,8,FALSE))</f>
        <v/>
      </c>
      <c r="P624" s="6" t="str">
        <f>IF(ISERROR(VLOOKUP($A624,'Plano de Contas'!#REF!,10,FALSE)),"",VLOOKUP($A624,'Plano de Contas'!#REF!,10,FALSE))</f>
        <v/>
      </c>
    </row>
    <row r="625" spans="12:16" x14ac:dyDescent="0.25">
      <c r="L625" s="1">
        <f t="shared" si="9"/>
        <v>0</v>
      </c>
      <c r="N625" s="6" t="str">
        <f>IF(ISERROR(VLOOKUP($A625,'Plano de Contas'!#REF!,8,FALSE)),"",VLOOKUP($A625,'Plano de Contas'!#REF!,8,FALSE))</f>
        <v/>
      </c>
      <c r="P625" s="6" t="str">
        <f>IF(ISERROR(VLOOKUP($A625,'Plano de Contas'!#REF!,10,FALSE)),"",VLOOKUP($A625,'Plano de Contas'!#REF!,10,FALSE))</f>
        <v/>
      </c>
    </row>
    <row r="626" spans="12:16" x14ac:dyDescent="0.25">
      <c r="L626" s="1">
        <f t="shared" si="9"/>
        <v>0</v>
      </c>
      <c r="N626" s="6" t="str">
        <f>IF(ISERROR(VLOOKUP($A626,'Plano de Contas'!#REF!,8,FALSE)),"",VLOOKUP($A626,'Plano de Contas'!#REF!,8,FALSE))</f>
        <v/>
      </c>
      <c r="P626" s="6" t="str">
        <f>IF(ISERROR(VLOOKUP($A626,'Plano de Contas'!#REF!,10,FALSE)),"",VLOOKUP($A626,'Plano de Contas'!#REF!,10,FALSE))</f>
        <v/>
      </c>
    </row>
    <row r="627" spans="12:16" x14ac:dyDescent="0.25">
      <c r="L627" s="1">
        <f t="shared" si="9"/>
        <v>0</v>
      </c>
      <c r="N627" s="6" t="str">
        <f>IF(ISERROR(VLOOKUP($A627,'Plano de Contas'!#REF!,8,FALSE)),"",VLOOKUP($A627,'Plano de Contas'!#REF!,8,FALSE))</f>
        <v/>
      </c>
      <c r="P627" s="6" t="str">
        <f>IF(ISERROR(VLOOKUP($A627,'Plano de Contas'!#REF!,10,FALSE)),"",VLOOKUP($A627,'Plano de Contas'!#REF!,10,FALSE))</f>
        <v/>
      </c>
    </row>
    <row r="628" spans="12:16" x14ac:dyDescent="0.25">
      <c r="L628" s="1">
        <f t="shared" si="9"/>
        <v>0</v>
      </c>
      <c r="N628" s="6" t="str">
        <f>IF(ISERROR(VLOOKUP($A628,'Plano de Contas'!#REF!,8,FALSE)),"",VLOOKUP($A628,'Plano de Contas'!#REF!,8,FALSE))</f>
        <v/>
      </c>
      <c r="P628" s="6" t="str">
        <f>IF(ISERROR(VLOOKUP($A628,'Plano de Contas'!#REF!,10,FALSE)),"",VLOOKUP($A628,'Plano de Contas'!#REF!,10,FALSE))</f>
        <v/>
      </c>
    </row>
    <row r="629" spans="12:16" x14ac:dyDescent="0.25">
      <c r="L629" s="1">
        <f t="shared" si="9"/>
        <v>0</v>
      </c>
      <c r="N629" s="6" t="str">
        <f>IF(ISERROR(VLOOKUP($A629,'Plano de Contas'!#REF!,8,FALSE)),"",VLOOKUP($A629,'Plano de Contas'!#REF!,8,FALSE))</f>
        <v/>
      </c>
      <c r="P629" s="6" t="str">
        <f>IF(ISERROR(VLOOKUP($A629,'Plano de Contas'!#REF!,10,FALSE)),"",VLOOKUP($A629,'Plano de Contas'!#REF!,10,FALSE))</f>
        <v/>
      </c>
    </row>
    <row r="630" spans="12:16" x14ac:dyDescent="0.25">
      <c r="L630" s="1">
        <f t="shared" si="9"/>
        <v>0</v>
      </c>
      <c r="N630" s="6" t="str">
        <f>IF(ISERROR(VLOOKUP($A630,'Plano de Contas'!#REF!,8,FALSE)),"",VLOOKUP($A630,'Plano de Contas'!#REF!,8,FALSE))</f>
        <v/>
      </c>
      <c r="P630" s="6" t="str">
        <f>IF(ISERROR(VLOOKUP($A630,'Plano de Contas'!#REF!,10,FALSE)),"",VLOOKUP($A630,'Plano de Contas'!#REF!,10,FALSE))</f>
        <v/>
      </c>
    </row>
    <row r="631" spans="12:16" x14ac:dyDescent="0.25">
      <c r="L631" s="1">
        <f t="shared" si="9"/>
        <v>0</v>
      </c>
      <c r="N631" s="6" t="str">
        <f>IF(ISERROR(VLOOKUP($A631,'Plano de Contas'!#REF!,8,FALSE)),"",VLOOKUP($A631,'Plano de Contas'!#REF!,8,FALSE))</f>
        <v/>
      </c>
      <c r="P631" s="6" t="str">
        <f>IF(ISERROR(VLOOKUP($A631,'Plano de Contas'!#REF!,10,FALSE)),"",VLOOKUP($A631,'Plano de Contas'!#REF!,10,FALSE))</f>
        <v/>
      </c>
    </row>
    <row r="632" spans="12:16" x14ac:dyDescent="0.25">
      <c r="L632" s="1">
        <f t="shared" si="9"/>
        <v>0</v>
      </c>
      <c r="N632" s="6" t="str">
        <f>IF(ISERROR(VLOOKUP($A632,'Plano de Contas'!#REF!,8,FALSE)),"",VLOOKUP($A632,'Plano de Contas'!#REF!,8,FALSE))</f>
        <v/>
      </c>
      <c r="P632" s="6" t="str">
        <f>IF(ISERROR(VLOOKUP($A632,'Plano de Contas'!#REF!,10,FALSE)),"",VLOOKUP($A632,'Plano de Contas'!#REF!,10,FALSE))</f>
        <v/>
      </c>
    </row>
    <row r="633" spans="12:16" x14ac:dyDescent="0.25">
      <c r="L633" s="1">
        <f t="shared" si="9"/>
        <v>0</v>
      </c>
      <c r="N633" s="6" t="str">
        <f>IF(ISERROR(VLOOKUP($A633,'Plano de Contas'!#REF!,8,FALSE)),"",VLOOKUP($A633,'Plano de Contas'!#REF!,8,FALSE))</f>
        <v/>
      </c>
      <c r="P633" s="6" t="str">
        <f>IF(ISERROR(VLOOKUP($A633,'Plano de Contas'!#REF!,10,FALSE)),"",VLOOKUP($A633,'Plano de Contas'!#REF!,10,FALSE))</f>
        <v/>
      </c>
    </row>
    <row r="634" spans="12:16" x14ac:dyDescent="0.25">
      <c r="L634" s="1">
        <f t="shared" si="9"/>
        <v>0</v>
      </c>
      <c r="N634" s="6" t="str">
        <f>IF(ISERROR(VLOOKUP($A634,'Plano de Contas'!#REF!,8,FALSE)),"",VLOOKUP($A634,'Plano de Contas'!#REF!,8,FALSE))</f>
        <v/>
      </c>
      <c r="P634" s="6" t="str">
        <f>IF(ISERROR(VLOOKUP($A634,'Plano de Contas'!#REF!,10,FALSE)),"",VLOOKUP($A634,'Plano de Contas'!#REF!,10,FALSE))</f>
        <v/>
      </c>
    </row>
    <row r="635" spans="12:16" x14ac:dyDescent="0.25">
      <c r="L635" s="1">
        <f t="shared" si="9"/>
        <v>0</v>
      </c>
      <c r="N635" s="6" t="str">
        <f>IF(ISERROR(VLOOKUP($A635,'Plano de Contas'!#REF!,8,FALSE)),"",VLOOKUP($A635,'Plano de Contas'!#REF!,8,FALSE))</f>
        <v/>
      </c>
      <c r="P635" s="6" t="str">
        <f>IF(ISERROR(VLOOKUP($A635,'Plano de Contas'!#REF!,10,FALSE)),"",VLOOKUP($A635,'Plano de Contas'!#REF!,10,FALSE))</f>
        <v/>
      </c>
    </row>
    <row r="636" spans="12:16" x14ac:dyDescent="0.25">
      <c r="L636" s="1">
        <f t="shared" si="9"/>
        <v>0</v>
      </c>
      <c r="N636" s="6" t="str">
        <f>IF(ISERROR(VLOOKUP($A636,'Plano de Contas'!#REF!,8,FALSE)),"",VLOOKUP($A636,'Plano de Contas'!#REF!,8,FALSE))</f>
        <v/>
      </c>
      <c r="P636" s="6" t="str">
        <f>IF(ISERROR(VLOOKUP($A636,'Plano de Contas'!#REF!,10,FALSE)),"",VLOOKUP($A636,'Plano de Contas'!#REF!,10,FALSE))</f>
        <v/>
      </c>
    </row>
    <row r="637" spans="12:16" x14ac:dyDescent="0.25">
      <c r="L637" s="1">
        <f t="shared" si="9"/>
        <v>0</v>
      </c>
      <c r="N637" s="6" t="str">
        <f>IF(ISERROR(VLOOKUP($A637,'Plano de Contas'!#REF!,8,FALSE)),"",VLOOKUP($A637,'Plano de Contas'!#REF!,8,FALSE))</f>
        <v/>
      </c>
      <c r="P637" s="6" t="str">
        <f>IF(ISERROR(VLOOKUP($A637,'Plano de Contas'!#REF!,10,FALSE)),"",VLOOKUP($A637,'Plano de Contas'!#REF!,10,FALSE))</f>
        <v/>
      </c>
    </row>
    <row r="638" spans="12:16" x14ac:dyDescent="0.25">
      <c r="L638" s="1">
        <f t="shared" si="9"/>
        <v>0</v>
      </c>
      <c r="N638" s="6" t="str">
        <f>IF(ISERROR(VLOOKUP($A638,'Plano de Contas'!#REF!,8,FALSE)),"",VLOOKUP($A638,'Plano de Contas'!#REF!,8,FALSE))</f>
        <v/>
      </c>
      <c r="P638" s="6" t="str">
        <f>IF(ISERROR(VLOOKUP($A638,'Plano de Contas'!#REF!,10,FALSE)),"",VLOOKUP($A638,'Plano de Contas'!#REF!,10,FALSE))</f>
        <v/>
      </c>
    </row>
    <row r="639" spans="12:16" x14ac:dyDescent="0.25">
      <c r="L639" s="1">
        <f t="shared" si="9"/>
        <v>0</v>
      </c>
      <c r="N639" s="6" t="str">
        <f>IF(ISERROR(VLOOKUP($A639,'Plano de Contas'!#REF!,8,FALSE)),"",VLOOKUP($A639,'Plano de Contas'!#REF!,8,FALSE))</f>
        <v/>
      </c>
      <c r="P639" s="6" t="str">
        <f>IF(ISERROR(VLOOKUP($A639,'Plano de Contas'!#REF!,10,FALSE)),"",VLOOKUP($A639,'Plano de Contas'!#REF!,10,FALSE))</f>
        <v/>
      </c>
    </row>
    <row r="640" spans="12:16" x14ac:dyDescent="0.25">
      <c r="L640" s="1">
        <f t="shared" si="9"/>
        <v>0</v>
      </c>
      <c r="N640" s="6" t="str">
        <f>IF(ISERROR(VLOOKUP($A640,'Plano de Contas'!#REF!,8,FALSE)),"",VLOOKUP($A640,'Plano de Contas'!#REF!,8,FALSE))</f>
        <v/>
      </c>
      <c r="P640" s="6" t="str">
        <f>IF(ISERROR(VLOOKUP($A640,'Plano de Contas'!#REF!,10,FALSE)),"",VLOOKUP($A640,'Plano de Contas'!#REF!,10,FALSE))</f>
        <v/>
      </c>
    </row>
    <row r="641" spans="12:16" x14ac:dyDescent="0.25">
      <c r="L641" s="1">
        <f t="shared" si="9"/>
        <v>0</v>
      </c>
      <c r="N641" s="6" t="str">
        <f>IF(ISERROR(VLOOKUP($A641,'Plano de Contas'!#REF!,8,FALSE)),"",VLOOKUP($A641,'Plano de Contas'!#REF!,8,FALSE))</f>
        <v/>
      </c>
      <c r="P641" s="6" t="str">
        <f>IF(ISERROR(VLOOKUP($A641,'Plano de Contas'!#REF!,10,FALSE)),"",VLOOKUP($A641,'Plano de Contas'!#REF!,10,FALSE))</f>
        <v/>
      </c>
    </row>
    <row r="642" spans="12:16" x14ac:dyDescent="0.25">
      <c r="L642" s="1">
        <f t="shared" si="9"/>
        <v>0</v>
      </c>
      <c r="N642" s="6" t="str">
        <f>IF(ISERROR(VLOOKUP($A642,'Plano de Contas'!#REF!,8,FALSE)),"",VLOOKUP($A642,'Plano de Contas'!#REF!,8,FALSE))</f>
        <v/>
      </c>
      <c r="P642" s="6" t="str">
        <f>IF(ISERROR(VLOOKUP($A642,'Plano de Contas'!#REF!,10,FALSE)),"",VLOOKUP($A642,'Plano de Contas'!#REF!,10,FALSE))</f>
        <v/>
      </c>
    </row>
    <row r="643" spans="12:16" x14ac:dyDescent="0.25">
      <c r="L643" s="1">
        <f t="shared" si="9"/>
        <v>0</v>
      </c>
      <c r="N643" s="6" t="str">
        <f>IF(ISERROR(VLOOKUP($A643,'Plano de Contas'!#REF!,8,FALSE)),"",VLOOKUP($A643,'Plano de Contas'!#REF!,8,FALSE))</f>
        <v/>
      </c>
      <c r="P643" s="6" t="str">
        <f>IF(ISERROR(VLOOKUP($A643,'Plano de Contas'!#REF!,10,FALSE)),"",VLOOKUP($A643,'Plano de Contas'!#REF!,10,FALSE))</f>
        <v/>
      </c>
    </row>
    <row r="644" spans="12:16" x14ac:dyDescent="0.25">
      <c r="L644" s="1">
        <f t="shared" si="9"/>
        <v>0</v>
      </c>
      <c r="N644" s="6" t="str">
        <f>IF(ISERROR(VLOOKUP($A644,'Plano de Contas'!#REF!,8,FALSE)),"",VLOOKUP($A644,'Plano de Contas'!#REF!,8,FALSE))</f>
        <v/>
      </c>
      <c r="P644" s="6" t="str">
        <f>IF(ISERROR(VLOOKUP($A644,'Plano de Contas'!#REF!,10,FALSE)),"",VLOOKUP($A644,'Plano de Contas'!#REF!,10,FALSE))</f>
        <v/>
      </c>
    </row>
    <row r="645" spans="12:16" x14ac:dyDescent="0.25">
      <c r="L645" s="1">
        <f t="shared" si="9"/>
        <v>0</v>
      </c>
      <c r="N645" s="6" t="str">
        <f>IF(ISERROR(VLOOKUP($A645,'Plano de Contas'!#REF!,8,FALSE)),"",VLOOKUP($A645,'Plano de Contas'!#REF!,8,FALSE))</f>
        <v/>
      </c>
      <c r="P645" s="6" t="str">
        <f>IF(ISERROR(VLOOKUP($A645,'Plano de Contas'!#REF!,10,FALSE)),"",VLOOKUP($A645,'Plano de Contas'!#REF!,10,FALSE))</f>
        <v/>
      </c>
    </row>
    <row r="646" spans="12:16" x14ac:dyDescent="0.25">
      <c r="L646" s="1">
        <f t="shared" si="9"/>
        <v>0</v>
      </c>
      <c r="N646" s="6" t="str">
        <f>IF(ISERROR(VLOOKUP($A646,'Plano de Contas'!#REF!,8,FALSE)),"",VLOOKUP($A646,'Plano de Contas'!#REF!,8,FALSE))</f>
        <v/>
      </c>
      <c r="P646" s="6" t="str">
        <f>IF(ISERROR(VLOOKUP($A646,'Plano de Contas'!#REF!,10,FALSE)),"",VLOOKUP($A646,'Plano de Contas'!#REF!,10,FALSE))</f>
        <v/>
      </c>
    </row>
    <row r="647" spans="12:16" x14ac:dyDescent="0.25">
      <c r="L647" s="1">
        <f t="shared" si="9"/>
        <v>0</v>
      </c>
      <c r="N647" s="6" t="str">
        <f>IF(ISERROR(VLOOKUP($A647,'Plano de Contas'!#REF!,8,FALSE)),"",VLOOKUP($A647,'Plano de Contas'!#REF!,8,FALSE))</f>
        <v/>
      </c>
      <c r="P647" s="6" t="str">
        <f>IF(ISERROR(VLOOKUP($A647,'Plano de Contas'!#REF!,10,FALSE)),"",VLOOKUP($A647,'Plano de Contas'!#REF!,10,FALSE))</f>
        <v/>
      </c>
    </row>
    <row r="648" spans="12:16" x14ac:dyDescent="0.25">
      <c r="L648" s="1">
        <f t="shared" si="9"/>
        <v>0</v>
      </c>
      <c r="N648" s="6" t="str">
        <f>IF(ISERROR(VLOOKUP($A648,'Plano de Contas'!#REF!,8,FALSE)),"",VLOOKUP($A648,'Plano de Contas'!#REF!,8,FALSE))</f>
        <v/>
      </c>
      <c r="P648" s="6" t="str">
        <f>IF(ISERROR(VLOOKUP($A648,'Plano de Contas'!#REF!,10,FALSE)),"",VLOOKUP($A648,'Plano de Contas'!#REF!,10,FALSE))</f>
        <v/>
      </c>
    </row>
    <row r="649" spans="12:16" x14ac:dyDescent="0.25">
      <c r="L649" s="1">
        <f t="shared" si="9"/>
        <v>0</v>
      </c>
      <c r="N649" s="6" t="str">
        <f>IF(ISERROR(VLOOKUP($A649,'Plano de Contas'!#REF!,8,FALSE)),"",VLOOKUP($A649,'Plano de Contas'!#REF!,8,FALSE))</f>
        <v/>
      </c>
      <c r="P649" s="6" t="str">
        <f>IF(ISERROR(VLOOKUP($A649,'Plano de Contas'!#REF!,10,FALSE)),"",VLOOKUP($A649,'Plano de Contas'!#REF!,10,FALSE))</f>
        <v/>
      </c>
    </row>
    <row r="650" spans="12:16" x14ac:dyDescent="0.25">
      <c r="L650" s="1">
        <f t="shared" si="9"/>
        <v>0</v>
      </c>
      <c r="N650" s="6" t="str">
        <f>IF(ISERROR(VLOOKUP($A650,'Plano de Contas'!#REF!,8,FALSE)),"",VLOOKUP($A650,'Plano de Contas'!#REF!,8,FALSE))</f>
        <v/>
      </c>
      <c r="P650" s="6" t="str">
        <f>IF(ISERROR(VLOOKUP($A650,'Plano de Contas'!#REF!,10,FALSE)),"",VLOOKUP($A650,'Plano de Contas'!#REF!,10,FALSE))</f>
        <v/>
      </c>
    </row>
    <row r="651" spans="12:16" x14ac:dyDescent="0.25">
      <c r="L651" s="1">
        <f t="shared" si="9"/>
        <v>0</v>
      </c>
      <c r="N651" s="6" t="str">
        <f>IF(ISERROR(VLOOKUP($A651,'Plano de Contas'!#REF!,8,FALSE)),"",VLOOKUP($A651,'Plano de Contas'!#REF!,8,FALSE))</f>
        <v/>
      </c>
      <c r="P651" s="6" t="str">
        <f>IF(ISERROR(VLOOKUP($A651,'Plano de Contas'!#REF!,10,FALSE)),"",VLOOKUP($A651,'Plano de Contas'!#REF!,10,FALSE))</f>
        <v/>
      </c>
    </row>
    <row r="652" spans="12:16" x14ac:dyDescent="0.25">
      <c r="L652" s="1">
        <f t="shared" ref="L652:L715" si="10">IF(K652="-",-J652,J652)</f>
        <v>0</v>
      </c>
      <c r="N652" s="6" t="str">
        <f>IF(ISERROR(VLOOKUP($A652,'Plano de Contas'!#REF!,8,FALSE)),"",VLOOKUP($A652,'Plano de Contas'!#REF!,8,FALSE))</f>
        <v/>
      </c>
      <c r="P652" s="6" t="str">
        <f>IF(ISERROR(VLOOKUP($A652,'Plano de Contas'!#REF!,10,FALSE)),"",VLOOKUP($A652,'Plano de Contas'!#REF!,10,FALSE))</f>
        <v/>
      </c>
    </row>
    <row r="653" spans="12:16" x14ac:dyDescent="0.25">
      <c r="L653" s="1">
        <f t="shared" si="10"/>
        <v>0</v>
      </c>
      <c r="N653" s="6" t="str">
        <f>IF(ISERROR(VLOOKUP($A653,'Plano de Contas'!#REF!,8,FALSE)),"",VLOOKUP($A653,'Plano de Contas'!#REF!,8,FALSE))</f>
        <v/>
      </c>
      <c r="P653" s="6" t="str">
        <f>IF(ISERROR(VLOOKUP($A653,'Plano de Contas'!#REF!,10,FALSE)),"",VLOOKUP($A653,'Plano de Contas'!#REF!,10,FALSE))</f>
        <v/>
      </c>
    </row>
    <row r="654" spans="12:16" x14ac:dyDescent="0.25">
      <c r="L654" s="1">
        <f t="shared" si="10"/>
        <v>0</v>
      </c>
      <c r="N654" s="6" t="str">
        <f>IF(ISERROR(VLOOKUP($A654,'Plano de Contas'!#REF!,8,FALSE)),"",VLOOKUP($A654,'Plano de Contas'!#REF!,8,FALSE))</f>
        <v/>
      </c>
      <c r="P654" s="6" t="str">
        <f>IF(ISERROR(VLOOKUP($A654,'Plano de Contas'!#REF!,10,FALSE)),"",VLOOKUP($A654,'Plano de Contas'!#REF!,10,FALSE))</f>
        <v/>
      </c>
    </row>
    <row r="655" spans="12:16" x14ac:dyDescent="0.25">
      <c r="L655" s="1">
        <f t="shared" si="10"/>
        <v>0</v>
      </c>
      <c r="N655" s="6" t="str">
        <f>IF(ISERROR(VLOOKUP($A655,'Plano de Contas'!#REF!,8,FALSE)),"",VLOOKUP($A655,'Plano de Contas'!#REF!,8,FALSE))</f>
        <v/>
      </c>
      <c r="P655" s="6" t="str">
        <f>IF(ISERROR(VLOOKUP($A655,'Plano de Contas'!#REF!,10,FALSE)),"",VLOOKUP($A655,'Plano de Contas'!#REF!,10,FALSE))</f>
        <v/>
      </c>
    </row>
    <row r="656" spans="12:16" x14ac:dyDescent="0.25">
      <c r="L656" s="1">
        <f t="shared" si="10"/>
        <v>0</v>
      </c>
      <c r="N656" s="6" t="str">
        <f>IF(ISERROR(VLOOKUP($A656,'Plano de Contas'!#REF!,8,FALSE)),"",VLOOKUP($A656,'Plano de Contas'!#REF!,8,FALSE))</f>
        <v/>
      </c>
      <c r="P656" s="6" t="str">
        <f>IF(ISERROR(VLOOKUP($A656,'Plano de Contas'!#REF!,10,FALSE)),"",VLOOKUP($A656,'Plano de Contas'!#REF!,10,FALSE))</f>
        <v/>
      </c>
    </row>
    <row r="657" spans="12:16" x14ac:dyDescent="0.25">
      <c r="L657" s="1">
        <f t="shared" si="10"/>
        <v>0</v>
      </c>
      <c r="N657" s="6" t="str">
        <f>IF(ISERROR(VLOOKUP($A657,'Plano de Contas'!#REF!,8,FALSE)),"",VLOOKUP($A657,'Plano de Contas'!#REF!,8,FALSE))</f>
        <v/>
      </c>
      <c r="P657" s="6" t="str">
        <f>IF(ISERROR(VLOOKUP($A657,'Plano de Contas'!#REF!,10,FALSE)),"",VLOOKUP($A657,'Plano de Contas'!#REF!,10,FALSE))</f>
        <v/>
      </c>
    </row>
    <row r="658" spans="12:16" x14ac:dyDescent="0.25">
      <c r="L658" s="1">
        <f t="shared" si="10"/>
        <v>0</v>
      </c>
      <c r="N658" s="6" t="str">
        <f>IF(ISERROR(VLOOKUP($A658,'Plano de Contas'!#REF!,8,FALSE)),"",VLOOKUP($A658,'Plano de Contas'!#REF!,8,FALSE))</f>
        <v/>
      </c>
      <c r="P658" s="6" t="str">
        <f>IF(ISERROR(VLOOKUP($A658,'Plano de Contas'!#REF!,10,FALSE)),"",VLOOKUP($A658,'Plano de Contas'!#REF!,10,FALSE))</f>
        <v/>
      </c>
    </row>
    <row r="659" spans="12:16" x14ac:dyDescent="0.25">
      <c r="L659" s="1">
        <f t="shared" si="10"/>
        <v>0</v>
      </c>
      <c r="N659" s="6" t="str">
        <f>IF(ISERROR(VLOOKUP($A659,'Plano de Contas'!#REF!,8,FALSE)),"",VLOOKUP($A659,'Plano de Contas'!#REF!,8,FALSE))</f>
        <v/>
      </c>
      <c r="P659" s="6" t="str">
        <f>IF(ISERROR(VLOOKUP($A659,'Plano de Contas'!#REF!,10,FALSE)),"",VLOOKUP($A659,'Plano de Contas'!#REF!,10,FALSE))</f>
        <v/>
      </c>
    </row>
    <row r="660" spans="12:16" x14ac:dyDescent="0.25">
      <c r="L660" s="1">
        <f t="shared" si="10"/>
        <v>0</v>
      </c>
      <c r="N660" s="6" t="str">
        <f>IF(ISERROR(VLOOKUP($A660,'Plano de Contas'!#REF!,8,FALSE)),"",VLOOKUP($A660,'Plano de Contas'!#REF!,8,FALSE))</f>
        <v/>
      </c>
      <c r="P660" s="6" t="str">
        <f>IF(ISERROR(VLOOKUP($A660,'Plano de Contas'!#REF!,10,FALSE)),"",VLOOKUP($A660,'Plano de Contas'!#REF!,10,FALSE))</f>
        <v/>
      </c>
    </row>
    <row r="661" spans="12:16" x14ac:dyDescent="0.25">
      <c r="L661" s="1">
        <f t="shared" si="10"/>
        <v>0</v>
      </c>
      <c r="N661" s="6" t="str">
        <f>IF(ISERROR(VLOOKUP($A661,'Plano de Contas'!#REF!,8,FALSE)),"",VLOOKUP($A661,'Plano de Contas'!#REF!,8,FALSE))</f>
        <v/>
      </c>
      <c r="P661" s="6" t="str">
        <f>IF(ISERROR(VLOOKUP($A661,'Plano de Contas'!#REF!,10,FALSE)),"",VLOOKUP($A661,'Plano de Contas'!#REF!,10,FALSE))</f>
        <v/>
      </c>
    </row>
    <row r="662" spans="12:16" x14ac:dyDescent="0.25">
      <c r="L662" s="1">
        <f t="shared" si="10"/>
        <v>0</v>
      </c>
      <c r="N662" s="6" t="str">
        <f>IF(ISERROR(VLOOKUP($A662,'Plano de Contas'!#REF!,8,FALSE)),"",VLOOKUP($A662,'Plano de Contas'!#REF!,8,FALSE))</f>
        <v/>
      </c>
      <c r="P662" s="6" t="str">
        <f>IF(ISERROR(VLOOKUP($A662,'Plano de Contas'!#REF!,10,FALSE)),"",VLOOKUP($A662,'Plano de Contas'!#REF!,10,FALSE))</f>
        <v/>
      </c>
    </row>
    <row r="663" spans="12:16" x14ac:dyDescent="0.25">
      <c r="L663" s="1">
        <f t="shared" si="10"/>
        <v>0</v>
      </c>
      <c r="N663" s="6" t="str">
        <f>IF(ISERROR(VLOOKUP($A663,'Plano de Contas'!#REF!,8,FALSE)),"",VLOOKUP($A663,'Plano de Contas'!#REF!,8,FALSE))</f>
        <v/>
      </c>
      <c r="P663" s="6" t="str">
        <f>IF(ISERROR(VLOOKUP($A663,'Plano de Contas'!#REF!,10,FALSE)),"",VLOOKUP($A663,'Plano de Contas'!#REF!,10,FALSE))</f>
        <v/>
      </c>
    </row>
    <row r="664" spans="12:16" x14ac:dyDescent="0.25">
      <c r="L664" s="1">
        <f t="shared" si="10"/>
        <v>0</v>
      </c>
      <c r="N664" s="6" t="str">
        <f>IF(ISERROR(VLOOKUP($A664,'Plano de Contas'!#REF!,8,FALSE)),"",VLOOKUP($A664,'Plano de Contas'!#REF!,8,FALSE))</f>
        <v/>
      </c>
      <c r="P664" s="6" t="str">
        <f>IF(ISERROR(VLOOKUP($A664,'Plano de Contas'!#REF!,10,FALSE)),"",VLOOKUP($A664,'Plano de Contas'!#REF!,10,FALSE))</f>
        <v/>
      </c>
    </row>
    <row r="665" spans="12:16" x14ac:dyDescent="0.25">
      <c r="L665" s="1">
        <f t="shared" si="10"/>
        <v>0</v>
      </c>
      <c r="N665" s="6" t="str">
        <f>IF(ISERROR(VLOOKUP($A665,'Plano de Contas'!#REF!,8,FALSE)),"",VLOOKUP($A665,'Plano de Contas'!#REF!,8,FALSE))</f>
        <v/>
      </c>
      <c r="P665" s="6" t="str">
        <f>IF(ISERROR(VLOOKUP($A665,'Plano de Contas'!#REF!,10,FALSE)),"",VLOOKUP($A665,'Plano de Contas'!#REF!,10,FALSE))</f>
        <v/>
      </c>
    </row>
    <row r="666" spans="12:16" x14ac:dyDescent="0.25">
      <c r="L666" s="1">
        <f t="shared" si="10"/>
        <v>0</v>
      </c>
      <c r="N666" s="6" t="str">
        <f>IF(ISERROR(VLOOKUP($A666,'Plano de Contas'!#REF!,8,FALSE)),"",VLOOKUP($A666,'Plano de Contas'!#REF!,8,FALSE))</f>
        <v/>
      </c>
      <c r="P666" s="6" t="str">
        <f>IF(ISERROR(VLOOKUP($A666,'Plano de Contas'!#REF!,10,FALSE)),"",VLOOKUP($A666,'Plano de Contas'!#REF!,10,FALSE))</f>
        <v/>
      </c>
    </row>
    <row r="667" spans="12:16" x14ac:dyDescent="0.25">
      <c r="L667" s="1">
        <f t="shared" si="10"/>
        <v>0</v>
      </c>
      <c r="N667" s="6" t="str">
        <f>IF(ISERROR(VLOOKUP($A667,'Plano de Contas'!#REF!,8,FALSE)),"",VLOOKUP($A667,'Plano de Contas'!#REF!,8,FALSE))</f>
        <v/>
      </c>
      <c r="P667" s="6" t="str">
        <f>IF(ISERROR(VLOOKUP($A667,'Plano de Contas'!#REF!,10,FALSE)),"",VLOOKUP($A667,'Plano de Contas'!#REF!,10,FALSE))</f>
        <v/>
      </c>
    </row>
    <row r="668" spans="12:16" x14ac:dyDescent="0.25">
      <c r="L668" s="1">
        <f t="shared" si="10"/>
        <v>0</v>
      </c>
      <c r="N668" s="6" t="str">
        <f>IF(ISERROR(VLOOKUP($A668,'Plano de Contas'!#REF!,8,FALSE)),"",VLOOKUP($A668,'Plano de Contas'!#REF!,8,FALSE))</f>
        <v/>
      </c>
      <c r="P668" s="6" t="str">
        <f>IF(ISERROR(VLOOKUP($A668,'Plano de Contas'!#REF!,10,FALSE)),"",VLOOKUP($A668,'Plano de Contas'!#REF!,10,FALSE))</f>
        <v/>
      </c>
    </row>
    <row r="669" spans="12:16" x14ac:dyDescent="0.25">
      <c r="L669" s="1">
        <f t="shared" si="10"/>
        <v>0</v>
      </c>
      <c r="N669" s="6" t="str">
        <f>IF(ISERROR(VLOOKUP($A669,'Plano de Contas'!#REF!,8,FALSE)),"",VLOOKUP($A669,'Plano de Contas'!#REF!,8,FALSE))</f>
        <v/>
      </c>
      <c r="P669" s="6" t="str">
        <f>IF(ISERROR(VLOOKUP($A669,'Plano de Contas'!#REF!,10,FALSE)),"",VLOOKUP($A669,'Plano de Contas'!#REF!,10,FALSE))</f>
        <v/>
      </c>
    </row>
    <row r="670" spans="12:16" x14ac:dyDescent="0.25">
      <c r="L670" s="1">
        <f t="shared" si="10"/>
        <v>0</v>
      </c>
      <c r="N670" s="6" t="str">
        <f>IF(ISERROR(VLOOKUP($A670,'Plano de Contas'!#REF!,8,FALSE)),"",VLOOKUP($A670,'Plano de Contas'!#REF!,8,FALSE))</f>
        <v/>
      </c>
      <c r="P670" s="6" t="str">
        <f>IF(ISERROR(VLOOKUP($A670,'Plano de Contas'!#REF!,10,FALSE)),"",VLOOKUP($A670,'Plano de Contas'!#REF!,10,FALSE))</f>
        <v/>
      </c>
    </row>
    <row r="671" spans="12:16" x14ac:dyDescent="0.25">
      <c r="L671" s="1">
        <f t="shared" si="10"/>
        <v>0</v>
      </c>
      <c r="N671" s="6" t="str">
        <f>IF(ISERROR(VLOOKUP($A671,'Plano de Contas'!#REF!,8,FALSE)),"",VLOOKUP($A671,'Plano de Contas'!#REF!,8,FALSE))</f>
        <v/>
      </c>
      <c r="P671" s="6" t="str">
        <f>IF(ISERROR(VLOOKUP($A671,'Plano de Contas'!#REF!,10,FALSE)),"",VLOOKUP($A671,'Plano de Contas'!#REF!,10,FALSE))</f>
        <v/>
      </c>
    </row>
    <row r="672" spans="12:16" x14ac:dyDescent="0.25">
      <c r="L672" s="1">
        <f t="shared" si="10"/>
        <v>0</v>
      </c>
      <c r="N672" s="6" t="str">
        <f>IF(ISERROR(VLOOKUP($A672,'Plano de Contas'!#REF!,8,FALSE)),"",VLOOKUP($A672,'Plano de Contas'!#REF!,8,FALSE))</f>
        <v/>
      </c>
      <c r="P672" s="6" t="str">
        <f>IF(ISERROR(VLOOKUP($A672,'Plano de Contas'!#REF!,10,FALSE)),"",VLOOKUP($A672,'Plano de Contas'!#REF!,10,FALSE))</f>
        <v/>
      </c>
    </row>
    <row r="673" spans="12:16" x14ac:dyDescent="0.25">
      <c r="L673" s="1">
        <f t="shared" si="10"/>
        <v>0</v>
      </c>
      <c r="N673" s="6" t="str">
        <f>IF(ISERROR(VLOOKUP($A673,'Plano de Contas'!#REF!,8,FALSE)),"",VLOOKUP($A673,'Plano de Contas'!#REF!,8,FALSE))</f>
        <v/>
      </c>
      <c r="P673" s="6" t="str">
        <f>IF(ISERROR(VLOOKUP($A673,'Plano de Contas'!#REF!,10,FALSE)),"",VLOOKUP($A673,'Plano de Contas'!#REF!,10,FALSE))</f>
        <v/>
      </c>
    </row>
    <row r="674" spans="12:16" x14ac:dyDescent="0.25">
      <c r="L674" s="1">
        <f t="shared" si="10"/>
        <v>0</v>
      </c>
      <c r="N674" s="6" t="str">
        <f>IF(ISERROR(VLOOKUP($A674,'Plano de Contas'!#REF!,8,FALSE)),"",VLOOKUP($A674,'Plano de Contas'!#REF!,8,FALSE))</f>
        <v/>
      </c>
      <c r="P674" s="6" t="str">
        <f>IF(ISERROR(VLOOKUP($A674,'Plano de Contas'!#REF!,10,FALSE)),"",VLOOKUP($A674,'Plano de Contas'!#REF!,10,FALSE))</f>
        <v/>
      </c>
    </row>
    <row r="675" spans="12:16" x14ac:dyDescent="0.25">
      <c r="L675" s="1">
        <f t="shared" si="10"/>
        <v>0</v>
      </c>
      <c r="N675" s="6" t="str">
        <f>IF(ISERROR(VLOOKUP($A675,'Plano de Contas'!#REF!,8,FALSE)),"",VLOOKUP($A675,'Plano de Contas'!#REF!,8,FALSE))</f>
        <v/>
      </c>
      <c r="P675" s="6" t="str">
        <f>IF(ISERROR(VLOOKUP($A675,'Plano de Contas'!#REF!,10,FALSE)),"",VLOOKUP($A675,'Plano de Contas'!#REF!,10,FALSE))</f>
        <v/>
      </c>
    </row>
    <row r="676" spans="12:16" x14ac:dyDescent="0.25">
      <c r="L676" s="1">
        <f t="shared" si="10"/>
        <v>0</v>
      </c>
      <c r="N676" s="6" t="str">
        <f>IF(ISERROR(VLOOKUP($A676,'Plano de Contas'!#REF!,8,FALSE)),"",VLOOKUP($A676,'Plano de Contas'!#REF!,8,FALSE))</f>
        <v/>
      </c>
      <c r="P676" s="6" t="str">
        <f>IF(ISERROR(VLOOKUP($A676,'Plano de Contas'!#REF!,10,FALSE)),"",VLOOKUP($A676,'Plano de Contas'!#REF!,10,FALSE))</f>
        <v/>
      </c>
    </row>
    <row r="677" spans="12:16" x14ac:dyDescent="0.25">
      <c r="L677" s="1">
        <f t="shared" si="10"/>
        <v>0</v>
      </c>
      <c r="N677" s="6" t="str">
        <f>IF(ISERROR(VLOOKUP($A677,'Plano de Contas'!#REF!,8,FALSE)),"",VLOOKUP($A677,'Plano de Contas'!#REF!,8,FALSE))</f>
        <v/>
      </c>
      <c r="P677" s="6" t="str">
        <f>IF(ISERROR(VLOOKUP($A677,'Plano de Contas'!#REF!,10,FALSE)),"",VLOOKUP($A677,'Plano de Contas'!#REF!,10,FALSE))</f>
        <v/>
      </c>
    </row>
    <row r="678" spans="12:16" x14ac:dyDescent="0.25">
      <c r="L678" s="1">
        <f t="shared" si="10"/>
        <v>0</v>
      </c>
      <c r="N678" s="6" t="str">
        <f>IF(ISERROR(VLOOKUP($A678,'Plano de Contas'!#REF!,8,FALSE)),"",VLOOKUP($A678,'Plano de Contas'!#REF!,8,FALSE))</f>
        <v/>
      </c>
      <c r="P678" s="6" t="str">
        <f>IF(ISERROR(VLOOKUP($A678,'Plano de Contas'!#REF!,10,FALSE)),"",VLOOKUP($A678,'Plano de Contas'!#REF!,10,FALSE))</f>
        <v/>
      </c>
    </row>
    <row r="679" spans="12:16" x14ac:dyDescent="0.25">
      <c r="L679" s="1">
        <f t="shared" si="10"/>
        <v>0</v>
      </c>
      <c r="N679" s="6" t="str">
        <f>IF(ISERROR(VLOOKUP($A679,'Plano de Contas'!#REF!,8,FALSE)),"",VLOOKUP($A679,'Plano de Contas'!#REF!,8,FALSE))</f>
        <v/>
      </c>
      <c r="P679" s="6" t="str">
        <f>IF(ISERROR(VLOOKUP($A679,'Plano de Contas'!#REF!,10,FALSE)),"",VLOOKUP($A679,'Plano de Contas'!#REF!,10,FALSE))</f>
        <v/>
      </c>
    </row>
    <row r="680" spans="12:16" x14ac:dyDescent="0.25">
      <c r="L680" s="1">
        <f t="shared" si="10"/>
        <v>0</v>
      </c>
      <c r="N680" s="6" t="str">
        <f>IF(ISERROR(VLOOKUP($A680,'Plano de Contas'!#REF!,8,FALSE)),"",VLOOKUP($A680,'Plano de Contas'!#REF!,8,FALSE))</f>
        <v/>
      </c>
      <c r="P680" s="6" t="str">
        <f>IF(ISERROR(VLOOKUP($A680,'Plano de Contas'!#REF!,10,FALSE)),"",VLOOKUP($A680,'Plano de Contas'!#REF!,10,FALSE))</f>
        <v/>
      </c>
    </row>
    <row r="681" spans="12:16" x14ac:dyDescent="0.25">
      <c r="L681" s="1">
        <f t="shared" si="10"/>
        <v>0</v>
      </c>
      <c r="N681" s="6" t="str">
        <f>IF(ISERROR(VLOOKUP($A681,'Plano de Contas'!#REF!,8,FALSE)),"",VLOOKUP($A681,'Plano de Contas'!#REF!,8,FALSE))</f>
        <v/>
      </c>
      <c r="P681" s="6" t="str">
        <f>IF(ISERROR(VLOOKUP($A681,'Plano de Contas'!#REF!,10,FALSE)),"",VLOOKUP($A681,'Plano de Contas'!#REF!,10,FALSE))</f>
        <v/>
      </c>
    </row>
    <row r="682" spans="12:16" x14ac:dyDescent="0.25">
      <c r="L682" s="1">
        <f t="shared" si="10"/>
        <v>0</v>
      </c>
      <c r="N682" s="6" t="str">
        <f>IF(ISERROR(VLOOKUP($A682,'Plano de Contas'!#REF!,8,FALSE)),"",VLOOKUP($A682,'Plano de Contas'!#REF!,8,FALSE))</f>
        <v/>
      </c>
      <c r="P682" s="6" t="str">
        <f>IF(ISERROR(VLOOKUP($A682,'Plano de Contas'!#REF!,10,FALSE)),"",VLOOKUP($A682,'Plano de Contas'!#REF!,10,FALSE))</f>
        <v/>
      </c>
    </row>
    <row r="683" spans="12:16" x14ac:dyDescent="0.25">
      <c r="L683" s="1">
        <f t="shared" si="10"/>
        <v>0</v>
      </c>
      <c r="N683" s="6" t="str">
        <f>IF(ISERROR(VLOOKUP($A683,'Plano de Contas'!#REF!,8,FALSE)),"",VLOOKUP($A683,'Plano de Contas'!#REF!,8,FALSE))</f>
        <v/>
      </c>
      <c r="P683" s="6" t="str">
        <f>IF(ISERROR(VLOOKUP($A683,'Plano de Contas'!#REF!,10,FALSE)),"",VLOOKUP($A683,'Plano de Contas'!#REF!,10,FALSE))</f>
        <v/>
      </c>
    </row>
    <row r="684" spans="12:16" x14ac:dyDescent="0.25">
      <c r="L684" s="1">
        <f t="shared" si="10"/>
        <v>0</v>
      </c>
      <c r="N684" s="6" t="str">
        <f>IF(ISERROR(VLOOKUP($A684,'Plano de Contas'!#REF!,8,FALSE)),"",VLOOKUP($A684,'Plano de Contas'!#REF!,8,FALSE))</f>
        <v/>
      </c>
      <c r="P684" s="6" t="str">
        <f>IF(ISERROR(VLOOKUP($A684,'Plano de Contas'!#REF!,10,FALSE)),"",VLOOKUP($A684,'Plano de Contas'!#REF!,10,FALSE))</f>
        <v/>
      </c>
    </row>
    <row r="685" spans="12:16" x14ac:dyDescent="0.25">
      <c r="L685" s="1">
        <f t="shared" si="10"/>
        <v>0</v>
      </c>
      <c r="N685" s="6" t="str">
        <f>IF(ISERROR(VLOOKUP($A685,'Plano de Contas'!#REF!,8,FALSE)),"",VLOOKUP($A685,'Plano de Contas'!#REF!,8,FALSE))</f>
        <v/>
      </c>
      <c r="P685" s="6" t="str">
        <f>IF(ISERROR(VLOOKUP($A685,'Plano de Contas'!#REF!,10,FALSE)),"",VLOOKUP($A685,'Plano de Contas'!#REF!,10,FALSE))</f>
        <v/>
      </c>
    </row>
    <row r="686" spans="12:16" x14ac:dyDescent="0.25">
      <c r="L686" s="1">
        <f t="shared" si="10"/>
        <v>0</v>
      </c>
      <c r="N686" s="6" t="str">
        <f>IF(ISERROR(VLOOKUP($A686,'Plano de Contas'!#REF!,8,FALSE)),"",VLOOKUP($A686,'Plano de Contas'!#REF!,8,FALSE))</f>
        <v/>
      </c>
      <c r="P686" s="6" t="str">
        <f>IF(ISERROR(VLOOKUP($A686,'Plano de Contas'!#REF!,10,FALSE)),"",VLOOKUP($A686,'Plano de Contas'!#REF!,10,FALSE))</f>
        <v/>
      </c>
    </row>
    <row r="687" spans="12:16" x14ac:dyDescent="0.25">
      <c r="L687" s="1">
        <f t="shared" si="10"/>
        <v>0</v>
      </c>
      <c r="N687" s="6" t="str">
        <f>IF(ISERROR(VLOOKUP($A687,'Plano de Contas'!#REF!,8,FALSE)),"",VLOOKUP($A687,'Plano de Contas'!#REF!,8,FALSE))</f>
        <v/>
      </c>
      <c r="P687" s="6" t="str">
        <f>IF(ISERROR(VLOOKUP($A687,'Plano de Contas'!#REF!,10,FALSE)),"",VLOOKUP($A687,'Plano de Contas'!#REF!,10,FALSE))</f>
        <v/>
      </c>
    </row>
    <row r="688" spans="12:16" x14ac:dyDescent="0.25">
      <c r="L688" s="1">
        <f t="shared" si="10"/>
        <v>0</v>
      </c>
      <c r="N688" s="6" t="str">
        <f>IF(ISERROR(VLOOKUP($A688,'Plano de Contas'!#REF!,8,FALSE)),"",VLOOKUP($A688,'Plano de Contas'!#REF!,8,FALSE))</f>
        <v/>
      </c>
      <c r="P688" s="6" t="str">
        <f>IF(ISERROR(VLOOKUP($A688,'Plano de Contas'!#REF!,10,FALSE)),"",VLOOKUP($A688,'Plano de Contas'!#REF!,10,FALSE))</f>
        <v/>
      </c>
    </row>
    <row r="689" spans="12:16" x14ac:dyDescent="0.25">
      <c r="L689" s="1">
        <f t="shared" si="10"/>
        <v>0</v>
      </c>
      <c r="N689" s="6" t="str">
        <f>IF(ISERROR(VLOOKUP($A689,'Plano de Contas'!#REF!,8,FALSE)),"",VLOOKUP($A689,'Plano de Contas'!#REF!,8,FALSE))</f>
        <v/>
      </c>
      <c r="P689" s="6" t="str">
        <f>IF(ISERROR(VLOOKUP($A689,'Plano de Contas'!#REF!,10,FALSE)),"",VLOOKUP($A689,'Plano de Contas'!#REF!,10,FALSE))</f>
        <v/>
      </c>
    </row>
    <row r="690" spans="12:16" x14ac:dyDescent="0.25">
      <c r="L690" s="1">
        <f t="shared" si="10"/>
        <v>0</v>
      </c>
      <c r="N690" s="6" t="str">
        <f>IF(ISERROR(VLOOKUP($A690,'Plano de Contas'!#REF!,8,FALSE)),"",VLOOKUP($A690,'Plano de Contas'!#REF!,8,FALSE))</f>
        <v/>
      </c>
      <c r="P690" s="6" t="str">
        <f>IF(ISERROR(VLOOKUP($A690,'Plano de Contas'!#REF!,10,FALSE)),"",VLOOKUP($A690,'Plano de Contas'!#REF!,10,FALSE))</f>
        <v/>
      </c>
    </row>
    <row r="691" spans="12:16" x14ac:dyDescent="0.25">
      <c r="L691" s="1">
        <f t="shared" si="10"/>
        <v>0</v>
      </c>
      <c r="N691" s="6" t="str">
        <f>IF(ISERROR(VLOOKUP($A691,'Plano de Contas'!#REF!,8,FALSE)),"",VLOOKUP($A691,'Plano de Contas'!#REF!,8,FALSE))</f>
        <v/>
      </c>
      <c r="P691" s="6" t="str">
        <f>IF(ISERROR(VLOOKUP($A691,'Plano de Contas'!#REF!,10,FALSE)),"",VLOOKUP($A691,'Plano de Contas'!#REF!,10,FALSE))</f>
        <v/>
      </c>
    </row>
    <row r="692" spans="12:16" x14ac:dyDescent="0.25">
      <c r="L692" s="1">
        <f t="shared" si="10"/>
        <v>0</v>
      </c>
      <c r="N692" s="6" t="str">
        <f>IF(ISERROR(VLOOKUP($A692,'Plano de Contas'!#REF!,8,FALSE)),"",VLOOKUP($A692,'Plano de Contas'!#REF!,8,FALSE))</f>
        <v/>
      </c>
      <c r="P692" s="6" t="str">
        <f>IF(ISERROR(VLOOKUP($A692,'Plano de Contas'!#REF!,10,FALSE)),"",VLOOKUP($A692,'Plano de Contas'!#REF!,10,FALSE))</f>
        <v/>
      </c>
    </row>
    <row r="693" spans="12:16" x14ac:dyDescent="0.25">
      <c r="L693" s="1">
        <f t="shared" si="10"/>
        <v>0</v>
      </c>
      <c r="N693" s="6" t="str">
        <f>IF(ISERROR(VLOOKUP($A693,'Plano de Contas'!#REF!,8,FALSE)),"",VLOOKUP($A693,'Plano de Contas'!#REF!,8,FALSE))</f>
        <v/>
      </c>
      <c r="P693" s="6" t="str">
        <f>IF(ISERROR(VLOOKUP($A693,'Plano de Contas'!#REF!,10,FALSE)),"",VLOOKUP($A693,'Plano de Contas'!#REF!,10,FALSE))</f>
        <v/>
      </c>
    </row>
    <row r="694" spans="12:16" x14ac:dyDescent="0.25">
      <c r="L694" s="1">
        <f t="shared" si="10"/>
        <v>0</v>
      </c>
      <c r="N694" s="6" t="str">
        <f>IF(ISERROR(VLOOKUP($A694,'Plano de Contas'!#REF!,8,FALSE)),"",VLOOKUP($A694,'Plano de Contas'!#REF!,8,FALSE))</f>
        <v/>
      </c>
      <c r="P694" s="6" t="str">
        <f>IF(ISERROR(VLOOKUP($A694,'Plano de Contas'!#REF!,10,FALSE)),"",VLOOKUP($A694,'Plano de Contas'!#REF!,10,FALSE))</f>
        <v/>
      </c>
    </row>
    <row r="695" spans="12:16" x14ac:dyDescent="0.25">
      <c r="L695" s="1">
        <f t="shared" si="10"/>
        <v>0</v>
      </c>
      <c r="N695" s="6" t="str">
        <f>IF(ISERROR(VLOOKUP($A695,'Plano de Contas'!#REF!,8,FALSE)),"",VLOOKUP($A695,'Plano de Contas'!#REF!,8,FALSE))</f>
        <v/>
      </c>
      <c r="P695" s="6" t="str">
        <f>IF(ISERROR(VLOOKUP($A695,'Plano de Contas'!#REF!,10,FALSE)),"",VLOOKUP($A695,'Plano de Contas'!#REF!,10,FALSE))</f>
        <v/>
      </c>
    </row>
    <row r="696" spans="12:16" x14ac:dyDescent="0.25">
      <c r="L696" s="1">
        <f t="shared" si="10"/>
        <v>0</v>
      </c>
      <c r="N696" s="6" t="str">
        <f>IF(ISERROR(VLOOKUP($A696,'Plano de Contas'!#REF!,8,FALSE)),"",VLOOKUP($A696,'Plano de Contas'!#REF!,8,FALSE))</f>
        <v/>
      </c>
      <c r="P696" s="6" t="str">
        <f>IF(ISERROR(VLOOKUP($A696,'Plano de Contas'!#REF!,10,FALSE)),"",VLOOKUP($A696,'Plano de Contas'!#REF!,10,FALSE))</f>
        <v/>
      </c>
    </row>
    <row r="697" spans="12:16" x14ac:dyDescent="0.25">
      <c r="L697" s="1">
        <f t="shared" si="10"/>
        <v>0</v>
      </c>
      <c r="N697" s="6" t="str">
        <f>IF(ISERROR(VLOOKUP($A697,'Plano de Contas'!#REF!,8,FALSE)),"",VLOOKUP($A697,'Plano de Contas'!#REF!,8,FALSE))</f>
        <v/>
      </c>
      <c r="P697" s="6" t="str">
        <f>IF(ISERROR(VLOOKUP($A697,'Plano de Contas'!#REF!,10,FALSE)),"",VLOOKUP($A697,'Plano de Contas'!#REF!,10,FALSE))</f>
        <v/>
      </c>
    </row>
    <row r="698" spans="12:16" x14ac:dyDescent="0.25">
      <c r="L698" s="1">
        <f t="shared" si="10"/>
        <v>0</v>
      </c>
      <c r="N698" s="6" t="str">
        <f>IF(ISERROR(VLOOKUP($A698,'Plano de Contas'!#REF!,8,FALSE)),"",VLOOKUP($A698,'Plano de Contas'!#REF!,8,FALSE))</f>
        <v/>
      </c>
      <c r="P698" s="6" t="str">
        <f>IF(ISERROR(VLOOKUP($A698,'Plano de Contas'!#REF!,10,FALSE)),"",VLOOKUP($A698,'Plano de Contas'!#REF!,10,FALSE))</f>
        <v/>
      </c>
    </row>
    <row r="699" spans="12:16" x14ac:dyDescent="0.25">
      <c r="L699" s="1">
        <f t="shared" si="10"/>
        <v>0</v>
      </c>
      <c r="N699" s="6" t="str">
        <f>IF(ISERROR(VLOOKUP($A699,'Plano de Contas'!#REF!,8,FALSE)),"",VLOOKUP($A699,'Plano de Contas'!#REF!,8,FALSE))</f>
        <v/>
      </c>
      <c r="P699" s="6" t="str">
        <f>IF(ISERROR(VLOOKUP($A699,'Plano de Contas'!#REF!,10,FALSE)),"",VLOOKUP($A699,'Plano de Contas'!#REF!,10,FALSE))</f>
        <v/>
      </c>
    </row>
    <row r="700" spans="12:16" x14ac:dyDescent="0.25">
      <c r="L700" s="1">
        <f t="shared" si="10"/>
        <v>0</v>
      </c>
      <c r="N700" s="6" t="str">
        <f>IF(ISERROR(VLOOKUP($A700,'Plano de Contas'!#REF!,8,FALSE)),"",VLOOKUP($A700,'Plano de Contas'!#REF!,8,FALSE))</f>
        <v/>
      </c>
      <c r="P700" s="6" t="str">
        <f>IF(ISERROR(VLOOKUP($A700,'Plano de Contas'!#REF!,10,FALSE)),"",VLOOKUP($A700,'Plano de Contas'!#REF!,10,FALSE))</f>
        <v/>
      </c>
    </row>
    <row r="701" spans="12:16" x14ac:dyDescent="0.25">
      <c r="L701" s="1">
        <f t="shared" si="10"/>
        <v>0</v>
      </c>
      <c r="N701" s="6" t="str">
        <f>IF(ISERROR(VLOOKUP($A701,'Plano de Contas'!#REF!,8,FALSE)),"",VLOOKUP($A701,'Plano de Contas'!#REF!,8,FALSE))</f>
        <v/>
      </c>
      <c r="P701" s="6" t="str">
        <f>IF(ISERROR(VLOOKUP($A701,'Plano de Contas'!#REF!,10,FALSE)),"",VLOOKUP($A701,'Plano de Contas'!#REF!,10,FALSE))</f>
        <v/>
      </c>
    </row>
    <row r="702" spans="12:16" x14ac:dyDescent="0.25">
      <c r="L702" s="1">
        <f t="shared" si="10"/>
        <v>0</v>
      </c>
      <c r="N702" s="6" t="str">
        <f>IF(ISERROR(VLOOKUP($A702,'Plano de Contas'!#REF!,8,FALSE)),"",VLOOKUP($A702,'Plano de Contas'!#REF!,8,FALSE))</f>
        <v/>
      </c>
      <c r="P702" s="6" t="str">
        <f>IF(ISERROR(VLOOKUP($A702,'Plano de Contas'!#REF!,10,FALSE)),"",VLOOKUP($A702,'Plano de Contas'!#REF!,10,FALSE))</f>
        <v/>
      </c>
    </row>
    <row r="703" spans="12:16" x14ac:dyDescent="0.25">
      <c r="L703" s="1">
        <f t="shared" si="10"/>
        <v>0</v>
      </c>
      <c r="N703" s="6" t="str">
        <f>IF(ISERROR(VLOOKUP($A703,'Plano de Contas'!#REF!,8,FALSE)),"",VLOOKUP($A703,'Plano de Contas'!#REF!,8,FALSE))</f>
        <v/>
      </c>
      <c r="P703" s="6" t="str">
        <f>IF(ISERROR(VLOOKUP($A703,'Plano de Contas'!#REF!,10,FALSE)),"",VLOOKUP($A703,'Plano de Contas'!#REF!,10,FALSE))</f>
        <v/>
      </c>
    </row>
    <row r="704" spans="12:16" x14ac:dyDescent="0.25">
      <c r="L704" s="1">
        <f t="shared" si="10"/>
        <v>0</v>
      </c>
      <c r="N704" s="6" t="str">
        <f>IF(ISERROR(VLOOKUP($A704,'Plano de Contas'!#REF!,8,FALSE)),"",VLOOKUP($A704,'Plano de Contas'!#REF!,8,FALSE))</f>
        <v/>
      </c>
      <c r="P704" s="6" t="str">
        <f>IF(ISERROR(VLOOKUP($A704,'Plano de Contas'!#REF!,10,FALSE)),"",VLOOKUP($A704,'Plano de Contas'!#REF!,10,FALSE))</f>
        <v/>
      </c>
    </row>
    <row r="705" spans="12:16" x14ac:dyDescent="0.25">
      <c r="L705" s="1">
        <f t="shared" si="10"/>
        <v>0</v>
      </c>
      <c r="N705" s="6" t="str">
        <f>IF(ISERROR(VLOOKUP($A705,'Plano de Contas'!#REF!,8,FALSE)),"",VLOOKUP($A705,'Plano de Contas'!#REF!,8,FALSE))</f>
        <v/>
      </c>
      <c r="P705" s="6" t="str">
        <f>IF(ISERROR(VLOOKUP($A705,'Plano de Contas'!#REF!,10,FALSE)),"",VLOOKUP($A705,'Plano de Contas'!#REF!,10,FALSE))</f>
        <v/>
      </c>
    </row>
    <row r="706" spans="12:16" x14ac:dyDescent="0.25">
      <c r="L706" s="1">
        <f t="shared" si="10"/>
        <v>0</v>
      </c>
      <c r="N706" s="6" t="str">
        <f>IF(ISERROR(VLOOKUP($A706,'Plano de Contas'!#REF!,8,FALSE)),"",VLOOKUP($A706,'Plano de Contas'!#REF!,8,FALSE))</f>
        <v/>
      </c>
      <c r="P706" s="6" t="str">
        <f>IF(ISERROR(VLOOKUP($A706,'Plano de Contas'!#REF!,10,FALSE)),"",VLOOKUP($A706,'Plano de Contas'!#REF!,10,FALSE))</f>
        <v/>
      </c>
    </row>
    <row r="707" spans="12:16" x14ac:dyDescent="0.25">
      <c r="L707" s="1">
        <f t="shared" si="10"/>
        <v>0</v>
      </c>
      <c r="N707" s="6" t="str">
        <f>IF(ISERROR(VLOOKUP($A707,'Plano de Contas'!#REF!,8,FALSE)),"",VLOOKUP($A707,'Plano de Contas'!#REF!,8,FALSE))</f>
        <v/>
      </c>
      <c r="P707" s="6" t="str">
        <f>IF(ISERROR(VLOOKUP($A707,'Plano de Contas'!#REF!,10,FALSE)),"",VLOOKUP($A707,'Plano de Contas'!#REF!,10,FALSE))</f>
        <v/>
      </c>
    </row>
    <row r="708" spans="12:16" x14ac:dyDescent="0.25">
      <c r="L708" s="1">
        <f t="shared" si="10"/>
        <v>0</v>
      </c>
      <c r="N708" s="6" t="str">
        <f>IF(ISERROR(VLOOKUP($A708,'Plano de Contas'!#REF!,8,FALSE)),"",VLOOKUP($A708,'Plano de Contas'!#REF!,8,FALSE))</f>
        <v/>
      </c>
      <c r="P708" s="6" t="str">
        <f>IF(ISERROR(VLOOKUP($A708,'Plano de Contas'!#REF!,10,FALSE)),"",VLOOKUP($A708,'Plano de Contas'!#REF!,10,FALSE))</f>
        <v/>
      </c>
    </row>
    <row r="709" spans="12:16" x14ac:dyDescent="0.25">
      <c r="L709" s="1">
        <f t="shared" si="10"/>
        <v>0</v>
      </c>
      <c r="N709" s="6" t="str">
        <f>IF(ISERROR(VLOOKUP($A709,'Plano de Contas'!#REF!,8,FALSE)),"",VLOOKUP($A709,'Plano de Contas'!#REF!,8,FALSE))</f>
        <v/>
      </c>
      <c r="P709" s="6" t="str">
        <f>IF(ISERROR(VLOOKUP($A709,'Plano de Contas'!#REF!,10,FALSE)),"",VLOOKUP($A709,'Plano de Contas'!#REF!,10,FALSE))</f>
        <v/>
      </c>
    </row>
    <row r="710" spans="12:16" x14ac:dyDescent="0.25">
      <c r="L710" s="1">
        <f t="shared" si="10"/>
        <v>0</v>
      </c>
      <c r="N710" s="6" t="str">
        <f>IF(ISERROR(VLOOKUP($A710,'Plano de Contas'!#REF!,8,FALSE)),"",VLOOKUP($A710,'Plano de Contas'!#REF!,8,FALSE))</f>
        <v/>
      </c>
      <c r="P710" s="6" t="str">
        <f>IF(ISERROR(VLOOKUP($A710,'Plano de Contas'!#REF!,10,FALSE)),"",VLOOKUP($A710,'Plano de Contas'!#REF!,10,FALSE))</f>
        <v/>
      </c>
    </row>
    <row r="711" spans="12:16" x14ac:dyDescent="0.25">
      <c r="L711" s="1">
        <f t="shared" si="10"/>
        <v>0</v>
      </c>
      <c r="N711" s="6" t="str">
        <f>IF(ISERROR(VLOOKUP($A711,'Plano de Contas'!#REF!,8,FALSE)),"",VLOOKUP($A711,'Plano de Contas'!#REF!,8,FALSE))</f>
        <v/>
      </c>
      <c r="P711" s="6" t="str">
        <f>IF(ISERROR(VLOOKUP($A711,'Plano de Contas'!#REF!,10,FALSE)),"",VLOOKUP($A711,'Plano de Contas'!#REF!,10,FALSE))</f>
        <v/>
      </c>
    </row>
    <row r="712" spans="12:16" x14ac:dyDescent="0.25">
      <c r="L712" s="1">
        <f t="shared" si="10"/>
        <v>0</v>
      </c>
      <c r="N712" s="6" t="str">
        <f>IF(ISERROR(VLOOKUP($A712,'Plano de Contas'!#REF!,8,FALSE)),"",VLOOKUP($A712,'Plano de Contas'!#REF!,8,FALSE))</f>
        <v/>
      </c>
      <c r="P712" s="6" t="str">
        <f>IF(ISERROR(VLOOKUP($A712,'Plano de Contas'!#REF!,10,FALSE)),"",VLOOKUP($A712,'Plano de Contas'!#REF!,10,FALSE))</f>
        <v/>
      </c>
    </row>
    <row r="713" spans="12:16" x14ac:dyDescent="0.25">
      <c r="L713" s="1">
        <f t="shared" si="10"/>
        <v>0</v>
      </c>
      <c r="N713" s="6" t="str">
        <f>IF(ISERROR(VLOOKUP($A713,'Plano de Contas'!#REF!,8,FALSE)),"",VLOOKUP($A713,'Plano de Contas'!#REF!,8,FALSE))</f>
        <v/>
      </c>
      <c r="P713" s="6" t="str">
        <f>IF(ISERROR(VLOOKUP($A713,'Plano de Contas'!#REF!,10,FALSE)),"",VLOOKUP($A713,'Plano de Contas'!#REF!,10,FALSE))</f>
        <v/>
      </c>
    </row>
    <row r="714" spans="12:16" x14ac:dyDescent="0.25">
      <c r="L714" s="1">
        <f t="shared" si="10"/>
        <v>0</v>
      </c>
      <c r="N714" s="6" t="str">
        <f>IF(ISERROR(VLOOKUP($A714,'Plano de Contas'!#REF!,8,FALSE)),"",VLOOKUP($A714,'Plano de Contas'!#REF!,8,FALSE))</f>
        <v/>
      </c>
      <c r="P714" s="6" t="str">
        <f>IF(ISERROR(VLOOKUP($A714,'Plano de Contas'!#REF!,10,FALSE)),"",VLOOKUP($A714,'Plano de Contas'!#REF!,10,FALSE))</f>
        <v/>
      </c>
    </row>
    <row r="715" spans="12:16" x14ac:dyDescent="0.25">
      <c r="L715" s="1">
        <f t="shared" si="10"/>
        <v>0</v>
      </c>
      <c r="N715" s="6" t="str">
        <f>IF(ISERROR(VLOOKUP($A715,'Plano de Contas'!#REF!,8,FALSE)),"",VLOOKUP($A715,'Plano de Contas'!#REF!,8,FALSE))</f>
        <v/>
      </c>
      <c r="P715" s="6" t="str">
        <f>IF(ISERROR(VLOOKUP($A715,'Plano de Contas'!#REF!,10,FALSE)),"",VLOOKUP($A715,'Plano de Contas'!#REF!,10,FALSE))</f>
        <v/>
      </c>
    </row>
    <row r="716" spans="12:16" x14ac:dyDescent="0.25">
      <c r="L716" s="1">
        <f t="shared" ref="L716:L779" si="11">IF(K716="-",-J716,J716)</f>
        <v>0</v>
      </c>
      <c r="N716" s="6" t="str">
        <f>IF(ISERROR(VLOOKUP($A716,'Plano de Contas'!#REF!,8,FALSE)),"",VLOOKUP($A716,'Plano de Contas'!#REF!,8,FALSE))</f>
        <v/>
      </c>
      <c r="P716" s="6" t="str">
        <f>IF(ISERROR(VLOOKUP($A716,'Plano de Contas'!#REF!,10,FALSE)),"",VLOOKUP($A716,'Plano de Contas'!#REF!,10,FALSE))</f>
        <v/>
      </c>
    </row>
    <row r="717" spans="12:16" x14ac:dyDescent="0.25">
      <c r="L717" s="1">
        <f t="shared" si="11"/>
        <v>0</v>
      </c>
      <c r="N717" s="6" t="str">
        <f>IF(ISERROR(VLOOKUP($A717,'Plano de Contas'!#REF!,8,FALSE)),"",VLOOKUP($A717,'Plano de Contas'!#REF!,8,FALSE))</f>
        <v/>
      </c>
      <c r="P717" s="6" t="str">
        <f>IF(ISERROR(VLOOKUP($A717,'Plano de Contas'!#REF!,10,FALSE)),"",VLOOKUP($A717,'Plano de Contas'!#REF!,10,FALSE))</f>
        <v/>
      </c>
    </row>
    <row r="718" spans="12:16" x14ac:dyDescent="0.25">
      <c r="L718" s="1">
        <f t="shared" si="11"/>
        <v>0</v>
      </c>
      <c r="N718" s="6" t="str">
        <f>IF(ISERROR(VLOOKUP($A718,'Plano de Contas'!#REF!,8,FALSE)),"",VLOOKUP($A718,'Plano de Contas'!#REF!,8,FALSE))</f>
        <v/>
      </c>
      <c r="P718" s="6" t="str">
        <f>IF(ISERROR(VLOOKUP($A718,'Plano de Contas'!#REF!,10,FALSE)),"",VLOOKUP($A718,'Plano de Contas'!#REF!,10,FALSE))</f>
        <v/>
      </c>
    </row>
    <row r="719" spans="12:16" x14ac:dyDescent="0.25">
      <c r="L719" s="1">
        <f t="shared" si="11"/>
        <v>0</v>
      </c>
      <c r="N719" s="6" t="str">
        <f>IF(ISERROR(VLOOKUP($A719,'Plano de Contas'!#REF!,8,FALSE)),"",VLOOKUP($A719,'Plano de Contas'!#REF!,8,FALSE))</f>
        <v/>
      </c>
      <c r="P719" s="6" t="str">
        <f>IF(ISERROR(VLOOKUP($A719,'Plano de Contas'!#REF!,10,FALSE)),"",VLOOKUP($A719,'Plano de Contas'!#REF!,10,FALSE))</f>
        <v/>
      </c>
    </row>
    <row r="720" spans="12:16" x14ac:dyDescent="0.25">
      <c r="L720" s="1">
        <f t="shared" si="11"/>
        <v>0</v>
      </c>
      <c r="N720" s="6" t="str">
        <f>IF(ISERROR(VLOOKUP($A720,'Plano de Contas'!#REF!,8,FALSE)),"",VLOOKUP($A720,'Plano de Contas'!#REF!,8,FALSE))</f>
        <v/>
      </c>
      <c r="P720" s="6" t="str">
        <f>IF(ISERROR(VLOOKUP($A720,'Plano de Contas'!#REF!,10,FALSE)),"",VLOOKUP($A720,'Plano de Contas'!#REF!,10,FALSE))</f>
        <v/>
      </c>
    </row>
    <row r="721" spans="12:16" x14ac:dyDescent="0.25">
      <c r="L721" s="1">
        <f t="shared" si="11"/>
        <v>0</v>
      </c>
      <c r="N721" s="6" t="str">
        <f>IF(ISERROR(VLOOKUP($A721,'Plano de Contas'!#REF!,8,FALSE)),"",VLOOKUP($A721,'Plano de Contas'!#REF!,8,FALSE))</f>
        <v/>
      </c>
      <c r="P721" s="6" t="str">
        <f>IF(ISERROR(VLOOKUP($A721,'Plano de Contas'!#REF!,10,FALSE)),"",VLOOKUP($A721,'Plano de Contas'!#REF!,10,FALSE))</f>
        <v/>
      </c>
    </row>
    <row r="722" spans="12:16" x14ac:dyDescent="0.25">
      <c r="L722" s="1">
        <f t="shared" si="11"/>
        <v>0</v>
      </c>
      <c r="N722" s="6" t="str">
        <f>IF(ISERROR(VLOOKUP($A722,'Plano de Contas'!#REF!,8,FALSE)),"",VLOOKUP($A722,'Plano de Contas'!#REF!,8,FALSE))</f>
        <v/>
      </c>
      <c r="P722" s="6" t="str">
        <f>IF(ISERROR(VLOOKUP($A722,'Plano de Contas'!#REF!,10,FALSE)),"",VLOOKUP($A722,'Plano de Contas'!#REF!,10,FALSE))</f>
        <v/>
      </c>
    </row>
    <row r="723" spans="12:16" x14ac:dyDescent="0.25">
      <c r="L723" s="1">
        <f t="shared" si="11"/>
        <v>0</v>
      </c>
      <c r="N723" s="6" t="str">
        <f>IF(ISERROR(VLOOKUP($A723,'Plano de Contas'!#REF!,8,FALSE)),"",VLOOKUP($A723,'Plano de Contas'!#REF!,8,FALSE))</f>
        <v/>
      </c>
      <c r="P723" s="6" t="str">
        <f>IF(ISERROR(VLOOKUP($A723,'Plano de Contas'!#REF!,10,FALSE)),"",VLOOKUP($A723,'Plano de Contas'!#REF!,10,FALSE))</f>
        <v/>
      </c>
    </row>
    <row r="724" spans="12:16" x14ac:dyDescent="0.25">
      <c r="L724" s="1">
        <f t="shared" si="11"/>
        <v>0</v>
      </c>
      <c r="N724" s="6" t="str">
        <f>IF(ISERROR(VLOOKUP($A724,'Plano de Contas'!#REF!,8,FALSE)),"",VLOOKUP($A724,'Plano de Contas'!#REF!,8,FALSE))</f>
        <v/>
      </c>
      <c r="P724" s="6" t="str">
        <f>IF(ISERROR(VLOOKUP($A724,'Plano de Contas'!#REF!,10,FALSE)),"",VLOOKUP($A724,'Plano de Contas'!#REF!,10,FALSE))</f>
        <v/>
      </c>
    </row>
    <row r="725" spans="12:16" x14ac:dyDescent="0.25">
      <c r="L725" s="1">
        <f t="shared" si="11"/>
        <v>0</v>
      </c>
      <c r="N725" s="6" t="str">
        <f>IF(ISERROR(VLOOKUP($A725,'Plano de Contas'!#REF!,8,FALSE)),"",VLOOKUP($A725,'Plano de Contas'!#REF!,8,FALSE))</f>
        <v/>
      </c>
      <c r="P725" s="6" t="str">
        <f>IF(ISERROR(VLOOKUP($A725,'Plano de Contas'!#REF!,10,FALSE)),"",VLOOKUP($A725,'Plano de Contas'!#REF!,10,FALSE))</f>
        <v/>
      </c>
    </row>
    <row r="726" spans="12:16" x14ac:dyDescent="0.25">
      <c r="L726" s="1">
        <f t="shared" si="11"/>
        <v>0</v>
      </c>
      <c r="N726" s="6" t="str">
        <f>IF(ISERROR(VLOOKUP($A726,'Plano de Contas'!#REF!,8,FALSE)),"",VLOOKUP($A726,'Plano de Contas'!#REF!,8,FALSE))</f>
        <v/>
      </c>
      <c r="P726" s="6" t="str">
        <f>IF(ISERROR(VLOOKUP($A726,'Plano de Contas'!#REF!,10,FALSE)),"",VLOOKUP($A726,'Plano de Contas'!#REF!,10,FALSE))</f>
        <v/>
      </c>
    </row>
    <row r="727" spans="12:16" x14ac:dyDescent="0.25">
      <c r="L727" s="1">
        <f t="shared" si="11"/>
        <v>0</v>
      </c>
      <c r="N727" s="6" t="str">
        <f>IF(ISERROR(VLOOKUP($A727,'Plano de Contas'!#REF!,8,FALSE)),"",VLOOKUP($A727,'Plano de Contas'!#REF!,8,FALSE))</f>
        <v/>
      </c>
      <c r="P727" s="6" t="str">
        <f>IF(ISERROR(VLOOKUP($A727,'Plano de Contas'!#REF!,10,FALSE)),"",VLOOKUP($A727,'Plano de Contas'!#REF!,10,FALSE))</f>
        <v/>
      </c>
    </row>
    <row r="728" spans="12:16" x14ac:dyDescent="0.25">
      <c r="L728" s="1">
        <f t="shared" si="11"/>
        <v>0</v>
      </c>
      <c r="N728" s="6" t="str">
        <f>IF(ISERROR(VLOOKUP($A728,'Plano de Contas'!#REF!,8,FALSE)),"",VLOOKUP($A728,'Plano de Contas'!#REF!,8,FALSE))</f>
        <v/>
      </c>
      <c r="P728" s="6" t="str">
        <f>IF(ISERROR(VLOOKUP($A728,'Plano de Contas'!#REF!,10,FALSE)),"",VLOOKUP($A728,'Plano de Contas'!#REF!,10,FALSE))</f>
        <v/>
      </c>
    </row>
    <row r="729" spans="12:16" x14ac:dyDescent="0.25">
      <c r="L729" s="1">
        <f t="shared" si="11"/>
        <v>0</v>
      </c>
      <c r="N729" s="6" t="str">
        <f>IF(ISERROR(VLOOKUP($A729,'Plano de Contas'!#REF!,8,FALSE)),"",VLOOKUP($A729,'Plano de Contas'!#REF!,8,FALSE))</f>
        <v/>
      </c>
      <c r="P729" s="6" t="str">
        <f>IF(ISERROR(VLOOKUP($A729,'Plano de Contas'!#REF!,10,FALSE)),"",VLOOKUP($A729,'Plano de Contas'!#REF!,10,FALSE))</f>
        <v/>
      </c>
    </row>
    <row r="730" spans="12:16" x14ac:dyDescent="0.25">
      <c r="L730" s="1">
        <f t="shared" si="11"/>
        <v>0</v>
      </c>
      <c r="N730" s="6" t="str">
        <f>IF(ISERROR(VLOOKUP($A730,'Plano de Contas'!#REF!,8,FALSE)),"",VLOOKUP($A730,'Plano de Contas'!#REF!,8,FALSE))</f>
        <v/>
      </c>
      <c r="P730" s="6" t="str">
        <f>IF(ISERROR(VLOOKUP($A730,'Plano de Contas'!#REF!,10,FALSE)),"",VLOOKUP($A730,'Plano de Contas'!#REF!,10,FALSE))</f>
        <v/>
      </c>
    </row>
    <row r="731" spans="12:16" x14ac:dyDescent="0.25">
      <c r="L731" s="1">
        <f t="shared" si="11"/>
        <v>0</v>
      </c>
      <c r="N731" s="6" t="str">
        <f>IF(ISERROR(VLOOKUP($A731,'Plano de Contas'!#REF!,8,FALSE)),"",VLOOKUP($A731,'Plano de Contas'!#REF!,8,FALSE))</f>
        <v/>
      </c>
      <c r="P731" s="6" t="str">
        <f>IF(ISERROR(VLOOKUP($A731,'Plano de Contas'!#REF!,10,FALSE)),"",VLOOKUP($A731,'Plano de Contas'!#REF!,10,FALSE))</f>
        <v/>
      </c>
    </row>
    <row r="732" spans="12:16" x14ac:dyDescent="0.25">
      <c r="L732" s="1">
        <f t="shared" si="11"/>
        <v>0</v>
      </c>
      <c r="N732" s="6" t="str">
        <f>IF(ISERROR(VLOOKUP($A732,'Plano de Contas'!#REF!,8,FALSE)),"",VLOOKUP($A732,'Plano de Contas'!#REF!,8,FALSE))</f>
        <v/>
      </c>
      <c r="P732" s="6" t="str">
        <f>IF(ISERROR(VLOOKUP($A732,'Plano de Contas'!#REF!,10,FALSE)),"",VLOOKUP($A732,'Plano de Contas'!#REF!,10,FALSE))</f>
        <v/>
      </c>
    </row>
    <row r="733" spans="12:16" x14ac:dyDescent="0.25">
      <c r="L733" s="1">
        <f t="shared" si="11"/>
        <v>0</v>
      </c>
      <c r="N733" s="6" t="str">
        <f>IF(ISERROR(VLOOKUP($A733,'Plano de Contas'!#REF!,8,FALSE)),"",VLOOKUP($A733,'Plano de Contas'!#REF!,8,FALSE))</f>
        <v/>
      </c>
      <c r="P733" s="6" t="str">
        <f>IF(ISERROR(VLOOKUP($A733,'Plano de Contas'!#REF!,10,FALSE)),"",VLOOKUP($A733,'Plano de Contas'!#REF!,10,FALSE))</f>
        <v/>
      </c>
    </row>
    <row r="734" spans="12:16" x14ac:dyDescent="0.25">
      <c r="L734" s="1">
        <f t="shared" si="11"/>
        <v>0</v>
      </c>
      <c r="N734" s="6" t="str">
        <f>IF(ISERROR(VLOOKUP($A734,'Plano de Contas'!#REF!,8,FALSE)),"",VLOOKUP($A734,'Plano de Contas'!#REF!,8,FALSE))</f>
        <v/>
      </c>
      <c r="P734" s="6" t="str">
        <f>IF(ISERROR(VLOOKUP($A734,'Plano de Contas'!#REF!,10,FALSE)),"",VLOOKUP($A734,'Plano de Contas'!#REF!,10,FALSE))</f>
        <v/>
      </c>
    </row>
    <row r="735" spans="12:16" x14ac:dyDescent="0.25">
      <c r="L735" s="1">
        <f t="shared" si="11"/>
        <v>0</v>
      </c>
      <c r="N735" s="6" t="str">
        <f>IF(ISERROR(VLOOKUP($A735,'Plano de Contas'!#REF!,8,FALSE)),"",VLOOKUP($A735,'Plano de Contas'!#REF!,8,FALSE))</f>
        <v/>
      </c>
      <c r="P735" s="6" t="str">
        <f>IF(ISERROR(VLOOKUP($A735,'Plano de Contas'!#REF!,10,FALSE)),"",VLOOKUP($A735,'Plano de Contas'!#REF!,10,FALSE))</f>
        <v/>
      </c>
    </row>
    <row r="736" spans="12:16" x14ac:dyDescent="0.25">
      <c r="L736" s="1">
        <f t="shared" si="11"/>
        <v>0</v>
      </c>
      <c r="N736" s="6" t="str">
        <f>IF(ISERROR(VLOOKUP($A736,'Plano de Contas'!#REF!,8,FALSE)),"",VLOOKUP($A736,'Plano de Contas'!#REF!,8,FALSE))</f>
        <v/>
      </c>
      <c r="P736" s="6" t="str">
        <f>IF(ISERROR(VLOOKUP($A736,'Plano de Contas'!#REF!,10,FALSE)),"",VLOOKUP($A736,'Plano de Contas'!#REF!,10,FALSE))</f>
        <v/>
      </c>
    </row>
    <row r="737" spans="12:16" x14ac:dyDescent="0.25">
      <c r="L737" s="1">
        <f t="shared" si="11"/>
        <v>0</v>
      </c>
      <c r="N737" s="6" t="str">
        <f>IF(ISERROR(VLOOKUP($A737,'Plano de Contas'!#REF!,8,FALSE)),"",VLOOKUP($A737,'Plano de Contas'!#REF!,8,FALSE))</f>
        <v/>
      </c>
      <c r="P737" s="6" t="str">
        <f>IF(ISERROR(VLOOKUP($A737,'Plano de Contas'!#REF!,10,FALSE)),"",VLOOKUP($A737,'Plano de Contas'!#REF!,10,FALSE))</f>
        <v/>
      </c>
    </row>
    <row r="738" spans="12:16" x14ac:dyDescent="0.25">
      <c r="L738" s="1">
        <f t="shared" si="11"/>
        <v>0</v>
      </c>
      <c r="N738" s="6" t="str">
        <f>IF(ISERROR(VLOOKUP($A738,'Plano de Contas'!#REF!,8,FALSE)),"",VLOOKUP($A738,'Plano de Contas'!#REF!,8,FALSE))</f>
        <v/>
      </c>
      <c r="P738" s="6" t="str">
        <f>IF(ISERROR(VLOOKUP($A738,'Plano de Contas'!#REF!,10,FALSE)),"",VLOOKUP($A738,'Plano de Contas'!#REF!,10,FALSE))</f>
        <v/>
      </c>
    </row>
    <row r="739" spans="12:16" x14ac:dyDescent="0.25">
      <c r="L739" s="1">
        <f t="shared" si="11"/>
        <v>0</v>
      </c>
      <c r="N739" s="6" t="str">
        <f>IF(ISERROR(VLOOKUP($A739,'Plano de Contas'!#REF!,8,FALSE)),"",VLOOKUP($A739,'Plano de Contas'!#REF!,8,FALSE))</f>
        <v/>
      </c>
      <c r="P739" s="6" t="str">
        <f>IF(ISERROR(VLOOKUP($A739,'Plano de Contas'!#REF!,10,FALSE)),"",VLOOKUP($A739,'Plano de Contas'!#REF!,10,FALSE))</f>
        <v/>
      </c>
    </row>
    <row r="740" spans="12:16" x14ac:dyDescent="0.25">
      <c r="L740" s="1">
        <f t="shared" si="11"/>
        <v>0</v>
      </c>
      <c r="N740" s="6" t="str">
        <f>IF(ISERROR(VLOOKUP($A740,'Plano de Contas'!#REF!,8,FALSE)),"",VLOOKUP($A740,'Plano de Contas'!#REF!,8,FALSE))</f>
        <v/>
      </c>
      <c r="P740" s="6" t="str">
        <f>IF(ISERROR(VLOOKUP($A740,'Plano de Contas'!#REF!,10,FALSE)),"",VLOOKUP($A740,'Plano de Contas'!#REF!,10,FALSE))</f>
        <v/>
      </c>
    </row>
    <row r="741" spans="12:16" x14ac:dyDescent="0.25">
      <c r="L741" s="1">
        <f t="shared" si="11"/>
        <v>0</v>
      </c>
      <c r="N741" s="6" t="str">
        <f>IF(ISERROR(VLOOKUP($A741,'Plano de Contas'!#REF!,8,FALSE)),"",VLOOKUP($A741,'Plano de Contas'!#REF!,8,FALSE))</f>
        <v/>
      </c>
      <c r="P741" s="6" t="str">
        <f>IF(ISERROR(VLOOKUP($A741,'Plano de Contas'!#REF!,10,FALSE)),"",VLOOKUP($A741,'Plano de Contas'!#REF!,10,FALSE))</f>
        <v/>
      </c>
    </row>
    <row r="742" spans="12:16" x14ac:dyDescent="0.25">
      <c r="L742" s="1">
        <f t="shared" si="11"/>
        <v>0</v>
      </c>
      <c r="N742" s="6" t="str">
        <f>IF(ISERROR(VLOOKUP($A742,'Plano de Contas'!#REF!,8,FALSE)),"",VLOOKUP($A742,'Plano de Contas'!#REF!,8,FALSE))</f>
        <v/>
      </c>
      <c r="P742" s="6" t="str">
        <f>IF(ISERROR(VLOOKUP($A742,'Plano de Contas'!#REF!,10,FALSE)),"",VLOOKUP($A742,'Plano de Contas'!#REF!,10,FALSE))</f>
        <v/>
      </c>
    </row>
    <row r="743" spans="12:16" x14ac:dyDescent="0.25">
      <c r="L743" s="1">
        <f t="shared" si="11"/>
        <v>0</v>
      </c>
      <c r="N743" s="6" t="str">
        <f>IF(ISERROR(VLOOKUP($A743,'Plano de Contas'!#REF!,8,FALSE)),"",VLOOKUP($A743,'Plano de Contas'!#REF!,8,FALSE))</f>
        <v/>
      </c>
      <c r="P743" s="6" t="str">
        <f>IF(ISERROR(VLOOKUP($A743,'Plano de Contas'!#REF!,10,FALSE)),"",VLOOKUP($A743,'Plano de Contas'!#REF!,10,FALSE))</f>
        <v/>
      </c>
    </row>
    <row r="744" spans="12:16" x14ac:dyDescent="0.25">
      <c r="L744" s="1">
        <f t="shared" si="11"/>
        <v>0</v>
      </c>
      <c r="N744" s="6" t="str">
        <f>IF(ISERROR(VLOOKUP($A744,'Plano de Contas'!#REF!,8,FALSE)),"",VLOOKUP($A744,'Plano de Contas'!#REF!,8,FALSE))</f>
        <v/>
      </c>
      <c r="P744" s="6" t="str">
        <f>IF(ISERROR(VLOOKUP($A744,'Plano de Contas'!#REF!,10,FALSE)),"",VLOOKUP($A744,'Plano de Contas'!#REF!,10,FALSE))</f>
        <v/>
      </c>
    </row>
    <row r="745" spans="12:16" x14ac:dyDescent="0.25">
      <c r="L745" s="1">
        <f t="shared" si="11"/>
        <v>0</v>
      </c>
      <c r="N745" s="6" t="str">
        <f>IF(ISERROR(VLOOKUP($A745,'Plano de Contas'!#REF!,8,FALSE)),"",VLOOKUP($A745,'Plano de Contas'!#REF!,8,FALSE))</f>
        <v/>
      </c>
      <c r="P745" s="6" t="str">
        <f>IF(ISERROR(VLOOKUP($A745,'Plano de Contas'!#REF!,10,FALSE)),"",VLOOKUP($A745,'Plano de Contas'!#REF!,10,FALSE))</f>
        <v/>
      </c>
    </row>
    <row r="746" spans="12:16" x14ac:dyDescent="0.25">
      <c r="L746" s="1">
        <f t="shared" si="11"/>
        <v>0</v>
      </c>
      <c r="N746" s="6" t="str">
        <f>IF(ISERROR(VLOOKUP($A746,'Plano de Contas'!#REF!,8,FALSE)),"",VLOOKUP($A746,'Plano de Contas'!#REF!,8,FALSE))</f>
        <v/>
      </c>
      <c r="P746" s="6" t="str">
        <f>IF(ISERROR(VLOOKUP($A746,'Plano de Contas'!#REF!,10,FALSE)),"",VLOOKUP($A746,'Plano de Contas'!#REF!,10,FALSE))</f>
        <v/>
      </c>
    </row>
    <row r="747" spans="12:16" x14ac:dyDescent="0.25">
      <c r="L747" s="1">
        <f t="shared" si="11"/>
        <v>0</v>
      </c>
      <c r="N747" s="6" t="str">
        <f>IF(ISERROR(VLOOKUP($A747,'Plano de Contas'!#REF!,8,FALSE)),"",VLOOKUP($A747,'Plano de Contas'!#REF!,8,FALSE))</f>
        <v/>
      </c>
      <c r="P747" s="6" t="str">
        <f>IF(ISERROR(VLOOKUP($A747,'Plano de Contas'!#REF!,10,FALSE)),"",VLOOKUP($A747,'Plano de Contas'!#REF!,10,FALSE))</f>
        <v/>
      </c>
    </row>
    <row r="748" spans="12:16" x14ac:dyDescent="0.25">
      <c r="L748" s="1">
        <f t="shared" si="11"/>
        <v>0</v>
      </c>
      <c r="N748" s="6" t="str">
        <f>IF(ISERROR(VLOOKUP($A748,'Plano de Contas'!#REF!,8,FALSE)),"",VLOOKUP($A748,'Plano de Contas'!#REF!,8,FALSE))</f>
        <v/>
      </c>
      <c r="P748" s="6" t="str">
        <f>IF(ISERROR(VLOOKUP($A748,'Plano de Contas'!#REF!,10,FALSE)),"",VLOOKUP($A748,'Plano de Contas'!#REF!,10,FALSE))</f>
        <v/>
      </c>
    </row>
    <row r="749" spans="12:16" x14ac:dyDescent="0.25">
      <c r="L749" s="1">
        <f t="shared" si="11"/>
        <v>0</v>
      </c>
      <c r="N749" s="6" t="str">
        <f>IF(ISERROR(VLOOKUP($A749,'Plano de Contas'!#REF!,8,FALSE)),"",VLOOKUP($A749,'Plano de Contas'!#REF!,8,FALSE))</f>
        <v/>
      </c>
      <c r="P749" s="6" t="str">
        <f>IF(ISERROR(VLOOKUP($A749,'Plano de Contas'!#REF!,10,FALSE)),"",VLOOKUP($A749,'Plano de Contas'!#REF!,10,FALSE))</f>
        <v/>
      </c>
    </row>
    <row r="750" spans="12:16" x14ac:dyDescent="0.25">
      <c r="L750" s="1">
        <f t="shared" si="11"/>
        <v>0</v>
      </c>
      <c r="N750" s="6" t="str">
        <f>IF(ISERROR(VLOOKUP($A750,'Plano de Contas'!#REF!,8,FALSE)),"",VLOOKUP($A750,'Plano de Contas'!#REF!,8,FALSE))</f>
        <v/>
      </c>
      <c r="P750" s="6" t="str">
        <f>IF(ISERROR(VLOOKUP($A750,'Plano de Contas'!#REF!,10,FALSE)),"",VLOOKUP($A750,'Plano de Contas'!#REF!,10,FALSE))</f>
        <v/>
      </c>
    </row>
    <row r="751" spans="12:16" x14ac:dyDescent="0.25">
      <c r="L751" s="1">
        <f t="shared" si="11"/>
        <v>0</v>
      </c>
      <c r="N751" s="6" t="str">
        <f>IF(ISERROR(VLOOKUP($A751,'Plano de Contas'!#REF!,8,FALSE)),"",VLOOKUP($A751,'Plano de Contas'!#REF!,8,FALSE))</f>
        <v/>
      </c>
      <c r="P751" s="6" t="str">
        <f>IF(ISERROR(VLOOKUP($A751,'Plano de Contas'!#REF!,10,FALSE)),"",VLOOKUP($A751,'Plano de Contas'!#REF!,10,FALSE))</f>
        <v/>
      </c>
    </row>
    <row r="752" spans="12:16" x14ac:dyDescent="0.25">
      <c r="L752" s="1">
        <f t="shared" si="11"/>
        <v>0</v>
      </c>
      <c r="N752" s="6" t="str">
        <f>IF(ISERROR(VLOOKUP($A752,'Plano de Contas'!#REF!,8,FALSE)),"",VLOOKUP($A752,'Plano de Contas'!#REF!,8,FALSE))</f>
        <v/>
      </c>
      <c r="P752" s="6" t="str">
        <f>IF(ISERROR(VLOOKUP($A752,'Plano de Contas'!#REF!,10,FALSE)),"",VLOOKUP($A752,'Plano de Contas'!#REF!,10,FALSE))</f>
        <v/>
      </c>
    </row>
    <row r="753" spans="12:16" x14ac:dyDescent="0.25">
      <c r="L753" s="1">
        <f t="shared" si="11"/>
        <v>0</v>
      </c>
      <c r="N753" s="6" t="str">
        <f>IF(ISERROR(VLOOKUP($A753,'Plano de Contas'!#REF!,8,FALSE)),"",VLOOKUP($A753,'Plano de Contas'!#REF!,8,FALSE))</f>
        <v/>
      </c>
      <c r="P753" s="6" t="str">
        <f>IF(ISERROR(VLOOKUP($A753,'Plano de Contas'!#REF!,10,FALSE)),"",VLOOKUP($A753,'Plano de Contas'!#REF!,10,FALSE))</f>
        <v/>
      </c>
    </row>
    <row r="754" spans="12:16" x14ac:dyDescent="0.25">
      <c r="L754" s="1">
        <f t="shared" si="11"/>
        <v>0</v>
      </c>
      <c r="N754" s="6" t="str">
        <f>IF(ISERROR(VLOOKUP($A754,'Plano de Contas'!#REF!,8,FALSE)),"",VLOOKUP($A754,'Plano de Contas'!#REF!,8,FALSE))</f>
        <v/>
      </c>
      <c r="P754" s="6" t="str">
        <f>IF(ISERROR(VLOOKUP($A754,'Plano de Contas'!#REF!,10,FALSE)),"",VLOOKUP($A754,'Plano de Contas'!#REF!,10,FALSE))</f>
        <v/>
      </c>
    </row>
    <row r="755" spans="12:16" x14ac:dyDescent="0.25">
      <c r="L755" s="1">
        <f t="shared" si="11"/>
        <v>0</v>
      </c>
      <c r="N755" s="6" t="str">
        <f>IF(ISERROR(VLOOKUP($A755,'Plano de Contas'!#REF!,8,FALSE)),"",VLOOKUP($A755,'Plano de Contas'!#REF!,8,FALSE))</f>
        <v/>
      </c>
      <c r="P755" s="6" t="str">
        <f>IF(ISERROR(VLOOKUP($A755,'Plano de Contas'!#REF!,10,FALSE)),"",VLOOKUP($A755,'Plano de Contas'!#REF!,10,FALSE))</f>
        <v/>
      </c>
    </row>
    <row r="756" spans="12:16" x14ac:dyDescent="0.25">
      <c r="L756" s="1">
        <f t="shared" si="11"/>
        <v>0</v>
      </c>
      <c r="N756" s="6" t="str">
        <f>IF(ISERROR(VLOOKUP($A756,'Plano de Contas'!#REF!,8,FALSE)),"",VLOOKUP($A756,'Plano de Contas'!#REF!,8,FALSE))</f>
        <v/>
      </c>
      <c r="P756" s="6" t="str">
        <f>IF(ISERROR(VLOOKUP($A756,'Plano de Contas'!#REF!,10,FALSE)),"",VLOOKUP($A756,'Plano de Contas'!#REF!,10,FALSE))</f>
        <v/>
      </c>
    </row>
    <row r="757" spans="12:16" x14ac:dyDescent="0.25">
      <c r="L757" s="1">
        <f t="shared" si="11"/>
        <v>0</v>
      </c>
      <c r="N757" s="6" t="str">
        <f>IF(ISERROR(VLOOKUP($A757,'Plano de Contas'!#REF!,8,FALSE)),"",VLOOKUP($A757,'Plano de Contas'!#REF!,8,FALSE))</f>
        <v/>
      </c>
      <c r="P757" s="6" t="str">
        <f>IF(ISERROR(VLOOKUP($A757,'Plano de Contas'!#REF!,10,FALSE)),"",VLOOKUP($A757,'Plano de Contas'!#REF!,10,FALSE))</f>
        <v/>
      </c>
    </row>
    <row r="758" spans="12:16" x14ac:dyDescent="0.25">
      <c r="L758" s="1">
        <f t="shared" si="11"/>
        <v>0</v>
      </c>
      <c r="N758" s="6" t="str">
        <f>IF(ISERROR(VLOOKUP($A758,'Plano de Contas'!#REF!,8,FALSE)),"",VLOOKUP($A758,'Plano de Contas'!#REF!,8,FALSE))</f>
        <v/>
      </c>
      <c r="P758" s="6" t="str">
        <f>IF(ISERROR(VLOOKUP($A758,'Plano de Contas'!#REF!,10,FALSE)),"",VLOOKUP($A758,'Plano de Contas'!#REF!,10,FALSE))</f>
        <v/>
      </c>
    </row>
    <row r="759" spans="12:16" x14ac:dyDescent="0.25">
      <c r="L759" s="1">
        <f t="shared" si="11"/>
        <v>0</v>
      </c>
      <c r="N759" s="6" t="str">
        <f>IF(ISERROR(VLOOKUP($A759,'Plano de Contas'!#REF!,8,FALSE)),"",VLOOKUP($A759,'Plano de Contas'!#REF!,8,FALSE))</f>
        <v/>
      </c>
      <c r="P759" s="6" t="str">
        <f>IF(ISERROR(VLOOKUP($A759,'Plano de Contas'!#REF!,10,FALSE)),"",VLOOKUP($A759,'Plano de Contas'!#REF!,10,FALSE))</f>
        <v/>
      </c>
    </row>
    <row r="760" spans="12:16" x14ac:dyDescent="0.25">
      <c r="L760" s="1">
        <f t="shared" si="11"/>
        <v>0</v>
      </c>
      <c r="N760" s="6" t="str">
        <f>IF(ISERROR(VLOOKUP($A760,'Plano de Contas'!#REF!,8,FALSE)),"",VLOOKUP($A760,'Plano de Contas'!#REF!,8,FALSE))</f>
        <v/>
      </c>
      <c r="P760" s="6" t="str">
        <f>IF(ISERROR(VLOOKUP($A760,'Plano de Contas'!#REF!,10,FALSE)),"",VLOOKUP($A760,'Plano de Contas'!#REF!,10,FALSE))</f>
        <v/>
      </c>
    </row>
    <row r="761" spans="12:16" x14ac:dyDescent="0.25">
      <c r="L761" s="1">
        <f t="shared" si="11"/>
        <v>0</v>
      </c>
      <c r="N761" s="6" t="str">
        <f>IF(ISERROR(VLOOKUP($A761,'Plano de Contas'!#REF!,8,FALSE)),"",VLOOKUP($A761,'Plano de Contas'!#REF!,8,FALSE))</f>
        <v/>
      </c>
      <c r="P761" s="6" t="str">
        <f>IF(ISERROR(VLOOKUP($A761,'Plano de Contas'!#REF!,10,FALSE)),"",VLOOKUP($A761,'Plano de Contas'!#REF!,10,FALSE))</f>
        <v/>
      </c>
    </row>
    <row r="762" spans="12:16" x14ac:dyDescent="0.25">
      <c r="L762" s="1">
        <f t="shared" si="11"/>
        <v>0</v>
      </c>
      <c r="N762" s="6" t="str">
        <f>IF(ISERROR(VLOOKUP($A762,'Plano de Contas'!#REF!,8,FALSE)),"",VLOOKUP($A762,'Plano de Contas'!#REF!,8,FALSE))</f>
        <v/>
      </c>
      <c r="P762" s="6" t="str">
        <f>IF(ISERROR(VLOOKUP($A762,'Plano de Contas'!#REF!,10,FALSE)),"",VLOOKUP($A762,'Plano de Contas'!#REF!,10,FALSE))</f>
        <v/>
      </c>
    </row>
    <row r="763" spans="12:16" x14ac:dyDescent="0.25">
      <c r="L763" s="1">
        <f t="shared" si="11"/>
        <v>0</v>
      </c>
      <c r="N763" s="6" t="str">
        <f>IF(ISERROR(VLOOKUP($A763,'Plano de Contas'!#REF!,8,FALSE)),"",VLOOKUP($A763,'Plano de Contas'!#REF!,8,FALSE))</f>
        <v/>
      </c>
      <c r="P763" s="6" t="str">
        <f>IF(ISERROR(VLOOKUP($A763,'Plano de Contas'!#REF!,10,FALSE)),"",VLOOKUP($A763,'Plano de Contas'!#REF!,10,FALSE))</f>
        <v/>
      </c>
    </row>
    <row r="764" spans="12:16" x14ac:dyDescent="0.25">
      <c r="L764" s="1">
        <f t="shared" si="11"/>
        <v>0</v>
      </c>
      <c r="N764" s="6" t="str">
        <f>IF(ISERROR(VLOOKUP($A764,'Plano de Contas'!#REF!,8,FALSE)),"",VLOOKUP($A764,'Plano de Contas'!#REF!,8,FALSE))</f>
        <v/>
      </c>
      <c r="P764" s="6" t="str">
        <f>IF(ISERROR(VLOOKUP($A764,'Plano de Contas'!#REF!,10,FALSE)),"",VLOOKUP($A764,'Plano de Contas'!#REF!,10,FALSE))</f>
        <v/>
      </c>
    </row>
    <row r="765" spans="12:16" x14ac:dyDescent="0.25">
      <c r="L765" s="1">
        <f t="shared" si="11"/>
        <v>0</v>
      </c>
      <c r="N765" s="6" t="str">
        <f>IF(ISERROR(VLOOKUP($A765,'Plano de Contas'!#REF!,8,FALSE)),"",VLOOKUP($A765,'Plano de Contas'!#REF!,8,FALSE))</f>
        <v/>
      </c>
      <c r="P765" s="6" t="str">
        <f>IF(ISERROR(VLOOKUP($A765,'Plano de Contas'!#REF!,10,FALSE)),"",VLOOKUP($A765,'Plano de Contas'!#REF!,10,FALSE))</f>
        <v/>
      </c>
    </row>
    <row r="766" spans="12:16" x14ac:dyDescent="0.25">
      <c r="L766" s="1">
        <f t="shared" si="11"/>
        <v>0</v>
      </c>
      <c r="N766" s="6" t="str">
        <f>IF(ISERROR(VLOOKUP($A766,'Plano de Contas'!#REF!,8,FALSE)),"",VLOOKUP($A766,'Plano de Contas'!#REF!,8,FALSE))</f>
        <v/>
      </c>
      <c r="P766" s="6" t="str">
        <f>IF(ISERROR(VLOOKUP($A766,'Plano de Contas'!#REF!,10,FALSE)),"",VLOOKUP($A766,'Plano de Contas'!#REF!,10,FALSE))</f>
        <v/>
      </c>
    </row>
    <row r="767" spans="12:16" x14ac:dyDescent="0.25">
      <c r="L767" s="1">
        <f t="shared" si="11"/>
        <v>0</v>
      </c>
      <c r="N767" s="6" t="str">
        <f>IF(ISERROR(VLOOKUP($A767,'Plano de Contas'!#REF!,8,FALSE)),"",VLOOKUP($A767,'Plano de Contas'!#REF!,8,FALSE))</f>
        <v/>
      </c>
      <c r="P767" s="6" t="str">
        <f>IF(ISERROR(VLOOKUP($A767,'Plano de Contas'!#REF!,10,FALSE)),"",VLOOKUP($A767,'Plano de Contas'!#REF!,10,FALSE))</f>
        <v/>
      </c>
    </row>
    <row r="768" spans="12:16" x14ac:dyDescent="0.25">
      <c r="L768" s="1">
        <f t="shared" si="11"/>
        <v>0</v>
      </c>
      <c r="N768" s="6" t="str">
        <f>IF(ISERROR(VLOOKUP($A768,'Plano de Contas'!#REF!,8,FALSE)),"",VLOOKUP($A768,'Plano de Contas'!#REF!,8,FALSE))</f>
        <v/>
      </c>
      <c r="P768" s="6" t="str">
        <f>IF(ISERROR(VLOOKUP($A768,'Plano de Contas'!#REF!,10,FALSE)),"",VLOOKUP($A768,'Plano de Contas'!#REF!,10,FALSE))</f>
        <v/>
      </c>
    </row>
    <row r="769" spans="12:16" x14ac:dyDescent="0.25">
      <c r="L769" s="1">
        <f t="shared" si="11"/>
        <v>0</v>
      </c>
      <c r="N769" s="6" t="str">
        <f>IF(ISERROR(VLOOKUP($A769,'Plano de Contas'!#REF!,8,FALSE)),"",VLOOKUP($A769,'Plano de Contas'!#REF!,8,FALSE))</f>
        <v/>
      </c>
      <c r="P769" s="6" t="str">
        <f>IF(ISERROR(VLOOKUP($A769,'Plano de Contas'!#REF!,10,FALSE)),"",VLOOKUP($A769,'Plano de Contas'!#REF!,10,FALSE))</f>
        <v/>
      </c>
    </row>
    <row r="770" spans="12:16" x14ac:dyDescent="0.25">
      <c r="L770" s="1">
        <f t="shared" si="11"/>
        <v>0</v>
      </c>
      <c r="N770" s="6" t="str">
        <f>IF(ISERROR(VLOOKUP($A770,'Plano de Contas'!#REF!,8,FALSE)),"",VLOOKUP($A770,'Plano de Contas'!#REF!,8,FALSE))</f>
        <v/>
      </c>
      <c r="P770" s="6" t="str">
        <f>IF(ISERROR(VLOOKUP($A770,'Plano de Contas'!#REF!,10,FALSE)),"",VLOOKUP($A770,'Plano de Contas'!#REF!,10,FALSE))</f>
        <v/>
      </c>
    </row>
    <row r="771" spans="12:16" x14ac:dyDescent="0.25">
      <c r="L771" s="1">
        <f t="shared" si="11"/>
        <v>0</v>
      </c>
      <c r="N771" s="6" t="str">
        <f>IF(ISERROR(VLOOKUP($A771,'Plano de Contas'!#REF!,8,FALSE)),"",VLOOKUP($A771,'Plano de Contas'!#REF!,8,FALSE))</f>
        <v/>
      </c>
      <c r="P771" s="6" t="str">
        <f>IF(ISERROR(VLOOKUP($A771,'Plano de Contas'!#REF!,10,FALSE)),"",VLOOKUP($A771,'Plano de Contas'!#REF!,10,FALSE))</f>
        <v/>
      </c>
    </row>
    <row r="772" spans="12:16" x14ac:dyDescent="0.25">
      <c r="L772" s="1">
        <f t="shared" si="11"/>
        <v>0</v>
      </c>
      <c r="N772" s="6" t="str">
        <f>IF(ISERROR(VLOOKUP($A772,'Plano de Contas'!#REF!,8,FALSE)),"",VLOOKUP($A772,'Plano de Contas'!#REF!,8,FALSE))</f>
        <v/>
      </c>
      <c r="P772" s="6" t="str">
        <f>IF(ISERROR(VLOOKUP($A772,'Plano de Contas'!#REF!,10,FALSE)),"",VLOOKUP($A772,'Plano de Contas'!#REF!,10,FALSE))</f>
        <v/>
      </c>
    </row>
    <row r="773" spans="12:16" x14ac:dyDescent="0.25">
      <c r="L773" s="1">
        <f t="shared" si="11"/>
        <v>0</v>
      </c>
      <c r="N773" s="6" t="str">
        <f>IF(ISERROR(VLOOKUP($A773,'Plano de Contas'!#REF!,8,FALSE)),"",VLOOKUP($A773,'Plano de Contas'!#REF!,8,FALSE))</f>
        <v/>
      </c>
      <c r="P773" s="6" t="str">
        <f>IF(ISERROR(VLOOKUP($A773,'Plano de Contas'!#REF!,10,FALSE)),"",VLOOKUP($A773,'Plano de Contas'!#REF!,10,FALSE))</f>
        <v/>
      </c>
    </row>
    <row r="774" spans="12:16" x14ac:dyDescent="0.25">
      <c r="L774" s="1">
        <f t="shared" si="11"/>
        <v>0</v>
      </c>
      <c r="N774" s="6" t="str">
        <f>IF(ISERROR(VLOOKUP($A774,'Plano de Contas'!#REF!,8,FALSE)),"",VLOOKUP($A774,'Plano de Contas'!#REF!,8,FALSE))</f>
        <v/>
      </c>
      <c r="P774" s="6" t="str">
        <f>IF(ISERROR(VLOOKUP($A774,'Plano de Contas'!#REF!,10,FALSE)),"",VLOOKUP($A774,'Plano de Contas'!#REF!,10,FALSE))</f>
        <v/>
      </c>
    </row>
    <row r="775" spans="12:16" x14ac:dyDescent="0.25">
      <c r="L775" s="1">
        <f t="shared" si="11"/>
        <v>0</v>
      </c>
      <c r="N775" s="6" t="str">
        <f>IF(ISERROR(VLOOKUP($A775,'Plano de Contas'!#REF!,8,FALSE)),"",VLOOKUP($A775,'Plano de Contas'!#REF!,8,FALSE))</f>
        <v/>
      </c>
      <c r="P775" s="6" t="str">
        <f>IF(ISERROR(VLOOKUP($A775,'Plano de Contas'!#REF!,10,FALSE)),"",VLOOKUP($A775,'Plano de Contas'!#REF!,10,FALSE))</f>
        <v/>
      </c>
    </row>
    <row r="776" spans="12:16" x14ac:dyDescent="0.25">
      <c r="L776" s="1">
        <f t="shared" si="11"/>
        <v>0</v>
      </c>
      <c r="N776" s="6" t="str">
        <f>IF(ISERROR(VLOOKUP($A776,'Plano de Contas'!#REF!,8,FALSE)),"",VLOOKUP($A776,'Plano de Contas'!#REF!,8,FALSE))</f>
        <v/>
      </c>
      <c r="P776" s="6" t="str">
        <f>IF(ISERROR(VLOOKUP($A776,'Plano de Contas'!#REF!,10,FALSE)),"",VLOOKUP($A776,'Plano de Contas'!#REF!,10,FALSE))</f>
        <v/>
      </c>
    </row>
    <row r="777" spans="12:16" x14ac:dyDescent="0.25">
      <c r="L777" s="1">
        <f t="shared" si="11"/>
        <v>0</v>
      </c>
      <c r="N777" s="6" t="str">
        <f>IF(ISERROR(VLOOKUP($A777,'Plano de Contas'!#REF!,8,FALSE)),"",VLOOKUP($A777,'Plano de Contas'!#REF!,8,FALSE))</f>
        <v/>
      </c>
      <c r="P777" s="6" t="str">
        <f>IF(ISERROR(VLOOKUP($A777,'Plano de Contas'!#REF!,10,FALSE)),"",VLOOKUP($A777,'Plano de Contas'!#REF!,10,FALSE))</f>
        <v/>
      </c>
    </row>
    <row r="778" spans="12:16" x14ac:dyDescent="0.25">
      <c r="L778" s="1">
        <f t="shared" si="11"/>
        <v>0</v>
      </c>
      <c r="N778" s="6" t="str">
        <f>IF(ISERROR(VLOOKUP($A778,'Plano de Contas'!#REF!,8,FALSE)),"",VLOOKUP($A778,'Plano de Contas'!#REF!,8,FALSE))</f>
        <v/>
      </c>
      <c r="P778" s="6" t="str">
        <f>IF(ISERROR(VLOOKUP($A778,'Plano de Contas'!#REF!,10,FALSE)),"",VLOOKUP($A778,'Plano de Contas'!#REF!,10,FALSE))</f>
        <v/>
      </c>
    </row>
    <row r="779" spans="12:16" x14ac:dyDescent="0.25">
      <c r="L779" s="1">
        <f t="shared" si="11"/>
        <v>0</v>
      </c>
      <c r="N779" s="6" t="str">
        <f>IF(ISERROR(VLOOKUP($A779,'Plano de Contas'!#REF!,8,FALSE)),"",VLOOKUP($A779,'Plano de Contas'!#REF!,8,FALSE))</f>
        <v/>
      </c>
      <c r="P779" s="6" t="str">
        <f>IF(ISERROR(VLOOKUP($A779,'Plano de Contas'!#REF!,10,FALSE)),"",VLOOKUP($A779,'Plano de Contas'!#REF!,10,FALSE))</f>
        <v/>
      </c>
    </row>
    <row r="780" spans="12:16" x14ac:dyDescent="0.25">
      <c r="L780" s="1">
        <f t="shared" ref="L780:L843" si="12">IF(K780="-",-J780,J780)</f>
        <v>0</v>
      </c>
      <c r="N780" s="6" t="str">
        <f>IF(ISERROR(VLOOKUP($A780,'Plano de Contas'!#REF!,8,FALSE)),"",VLOOKUP($A780,'Plano de Contas'!#REF!,8,FALSE))</f>
        <v/>
      </c>
      <c r="P780" s="6" t="str">
        <f>IF(ISERROR(VLOOKUP($A780,'Plano de Contas'!#REF!,10,FALSE)),"",VLOOKUP($A780,'Plano de Contas'!#REF!,10,FALSE))</f>
        <v/>
      </c>
    </row>
    <row r="781" spans="12:16" x14ac:dyDescent="0.25">
      <c r="L781" s="1">
        <f t="shared" si="12"/>
        <v>0</v>
      </c>
      <c r="N781" s="6" t="str">
        <f>IF(ISERROR(VLOOKUP($A781,'Plano de Contas'!#REF!,8,FALSE)),"",VLOOKUP($A781,'Plano de Contas'!#REF!,8,FALSE))</f>
        <v/>
      </c>
      <c r="P781" s="6" t="str">
        <f>IF(ISERROR(VLOOKUP($A781,'Plano de Contas'!#REF!,10,FALSE)),"",VLOOKUP($A781,'Plano de Contas'!#REF!,10,FALSE))</f>
        <v/>
      </c>
    </row>
    <row r="782" spans="12:16" x14ac:dyDescent="0.25">
      <c r="L782" s="1">
        <f t="shared" si="12"/>
        <v>0</v>
      </c>
      <c r="N782" s="6" t="str">
        <f>IF(ISERROR(VLOOKUP($A782,'Plano de Contas'!#REF!,8,FALSE)),"",VLOOKUP($A782,'Plano de Contas'!#REF!,8,FALSE))</f>
        <v/>
      </c>
      <c r="P782" s="6" t="str">
        <f>IF(ISERROR(VLOOKUP($A782,'Plano de Contas'!#REF!,10,FALSE)),"",VLOOKUP($A782,'Plano de Contas'!#REF!,10,FALSE))</f>
        <v/>
      </c>
    </row>
    <row r="783" spans="12:16" x14ac:dyDescent="0.25">
      <c r="L783" s="1">
        <f t="shared" si="12"/>
        <v>0</v>
      </c>
      <c r="N783" s="6" t="str">
        <f>IF(ISERROR(VLOOKUP($A783,'Plano de Contas'!#REF!,8,FALSE)),"",VLOOKUP($A783,'Plano de Contas'!#REF!,8,FALSE))</f>
        <v/>
      </c>
      <c r="P783" s="6" t="str">
        <f>IF(ISERROR(VLOOKUP($A783,'Plano de Contas'!#REF!,10,FALSE)),"",VLOOKUP($A783,'Plano de Contas'!#REF!,10,FALSE))</f>
        <v/>
      </c>
    </row>
    <row r="784" spans="12:16" x14ac:dyDescent="0.25">
      <c r="L784" s="1">
        <f t="shared" si="12"/>
        <v>0</v>
      </c>
      <c r="N784" s="6" t="str">
        <f>IF(ISERROR(VLOOKUP($A784,'Plano de Contas'!#REF!,8,FALSE)),"",VLOOKUP($A784,'Plano de Contas'!#REF!,8,FALSE))</f>
        <v/>
      </c>
      <c r="P784" s="6" t="str">
        <f>IF(ISERROR(VLOOKUP($A784,'Plano de Contas'!#REF!,10,FALSE)),"",VLOOKUP($A784,'Plano de Contas'!#REF!,10,FALSE))</f>
        <v/>
      </c>
    </row>
    <row r="785" spans="12:16" x14ac:dyDescent="0.25">
      <c r="L785" s="1">
        <f t="shared" si="12"/>
        <v>0</v>
      </c>
      <c r="N785" s="6" t="str">
        <f>IF(ISERROR(VLOOKUP($A785,'Plano de Contas'!#REF!,8,FALSE)),"",VLOOKUP($A785,'Plano de Contas'!#REF!,8,FALSE))</f>
        <v/>
      </c>
      <c r="P785" s="6" t="str">
        <f>IF(ISERROR(VLOOKUP($A785,'Plano de Contas'!#REF!,10,FALSE)),"",VLOOKUP($A785,'Plano de Contas'!#REF!,10,FALSE))</f>
        <v/>
      </c>
    </row>
    <row r="786" spans="12:16" x14ac:dyDescent="0.25">
      <c r="L786" s="1">
        <f t="shared" si="12"/>
        <v>0</v>
      </c>
      <c r="N786" s="6" t="str">
        <f>IF(ISERROR(VLOOKUP($A786,'Plano de Contas'!#REF!,8,FALSE)),"",VLOOKUP($A786,'Plano de Contas'!#REF!,8,FALSE))</f>
        <v/>
      </c>
      <c r="P786" s="6" t="str">
        <f>IF(ISERROR(VLOOKUP($A786,'Plano de Contas'!#REF!,10,FALSE)),"",VLOOKUP($A786,'Plano de Contas'!#REF!,10,FALSE))</f>
        <v/>
      </c>
    </row>
    <row r="787" spans="12:16" x14ac:dyDescent="0.25">
      <c r="L787" s="1">
        <f t="shared" si="12"/>
        <v>0</v>
      </c>
      <c r="N787" s="6" t="str">
        <f>IF(ISERROR(VLOOKUP($A787,'Plano de Contas'!#REF!,8,FALSE)),"",VLOOKUP($A787,'Plano de Contas'!#REF!,8,FALSE))</f>
        <v/>
      </c>
      <c r="P787" s="6" t="str">
        <f>IF(ISERROR(VLOOKUP($A787,'Plano de Contas'!#REF!,10,FALSE)),"",VLOOKUP($A787,'Plano de Contas'!#REF!,10,FALSE))</f>
        <v/>
      </c>
    </row>
    <row r="788" spans="12:16" x14ac:dyDescent="0.25">
      <c r="L788" s="1">
        <f t="shared" si="12"/>
        <v>0</v>
      </c>
      <c r="N788" s="6" t="str">
        <f>IF(ISERROR(VLOOKUP($A788,'Plano de Contas'!#REF!,8,FALSE)),"",VLOOKUP($A788,'Plano de Contas'!#REF!,8,FALSE))</f>
        <v/>
      </c>
      <c r="P788" s="6" t="str">
        <f>IF(ISERROR(VLOOKUP($A788,'Plano de Contas'!#REF!,10,FALSE)),"",VLOOKUP($A788,'Plano de Contas'!#REF!,10,FALSE))</f>
        <v/>
      </c>
    </row>
    <row r="789" spans="12:16" x14ac:dyDescent="0.25">
      <c r="L789" s="1">
        <f t="shared" si="12"/>
        <v>0</v>
      </c>
      <c r="N789" s="6" t="str">
        <f>IF(ISERROR(VLOOKUP($A789,'Plano de Contas'!#REF!,8,FALSE)),"",VLOOKUP($A789,'Plano de Contas'!#REF!,8,FALSE))</f>
        <v/>
      </c>
      <c r="P789" s="6" t="str">
        <f>IF(ISERROR(VLOOKUP($A789,'Plano de Contas'!#REF!,10,FALSE)),"",VLOOKUP($A789,'Plano de Contas'!#REF!,10,FALSE))</f>
        <v/>
      </c>
    </row>
    <row r="790" spans="12:16" x14ac:dyDescent="0.25">
      <c r="L790" s="1">
        <f t="shared" si="12"/>
        <v>0</v>
      </c>
      <c r="N790" s="6" t="str">
        <f>IF(ISERROR(VLOOKUP($A790,'Plano de Contas'!#REF!,8,FALSE)),"",VLOOKUP($A790,'Plano de Contas'!#REF!,8,FALSE))</f>
        <v/>
      </c>
      <c r="P790" s="6" t="str">
        <f>IF(ISERROR(VLOOKUP($A790,'Plano de Contas'!#REF!,10,FALSE)),"",VLOOKUP($A790,'Plano de Contas'!#REF!,10,FALSE))</f>
        <v/>
      </c>
    </row>
    <row r="791" spans="12:16" x14ac:dyDescent="0.25">
      <c r="L791" s="1">
        <f t="shared" si="12"/>
        <v>0</v>
      </c>
      <c r="N791" s="6" t="str">
        <f>IF(ISERROR(VLOOKUP($A791,'Plano de Contas'!#REF!,8,FALSE)),"",VLOOKUP($A791,'Plano de Contas'!#REF!,8,FALSE))</f>
        <v/>
      </c>
      <c r="P791" s="6" t="str">
        <f>IF(ISERROR(VLOOKUP($A791,'Plano de Contas'!#REF!,10,FALSE)),"",VLOOKUP($A791,'Plano de Contas'!#REF!,10,FALSE))</f>
        <v/>
      </c>
    </row>
    <row r="792" spans="12:16" x14ac:dyDescent="0.25">
      <c r="L792" s="1">
        <f t="shared" si="12"/>
        <v>0</v>
      </c>
      <c r="N792" s="6" t="str">
        <f>IF(ISERROR(VLOOKUP($A792,'Plano de Contas'!#REF!,8,FALSE)),"",VLOOKUP($A792,'Plano de Contas'!#REF!,8,FALSE))</f>
        <v/>
      </c>
      <c r="P792" s="6" t="str">
        <f>IF(ISERROR(VLOOKUP($A792,'Plano de Contas'!#REF!,10,FALSE)),"",VLOOKUP($A792,'Plano de Contas'!#REF!,10,FALSE))</f>
        <v/>
      </c>
    </row>
    <row r="793" spans="12:16" x14ac:dyDescent="0.25">
      <c r="L793" s="1">
        <f t="shared" si="12"/>
        <v>0</v>
      </c>
      <c r="N793" s="6" t="str">
        <f>IF(ISERROR(VLOOKUP($A793,'Plano de Contas'!#REF!,7)),"",VLOOKUP($A793,'Plano de Contas'!#REF!,7))</f>
        <v/>
      </c>
    </row>
    <row r="794" spans="12:16" x14ac:dyDescent="0.25">
      <c r="L794" s="1">
        <f t="shared" si="12"/>
        <v>0</v>
      </c>
      <c r="N794" s="6" t="str">
        <f>IF(ISERROR(VLOOKUP($A794,'Plano de Contas'!#REF!,7)),"",VLOOKUP($A794,'Plano de Contas'!#REF!,7))</f>
        <v/>
      </c>
    </row>
    <row r="795" spans="12:16" x14ac:dyDescent="0.25">
      <c r="L795" s="1">
        <f t="shared" si="12"/>
        <v>0</v>
      </c>
      <c r="N795" s="6" t="str">
        <f>IF(ISERROR(VLOOKUP($A795,'Plano de Contas'!#REF!,7)),"",VLOOKUP($A795,'Plano de Contas'!#REF!,7))</f>
        <v/>
      </c>
    </row>
    <row r="796" spans="12:16" x14ac:dyDescent="0.25">
      <c r="L796" s="1">
        <f t="shared" si="12"/>
        <v>0</v>
      </c>
      <c r="N796" s="6" t="str">
        <f>IF(ISERROR(VLOOKUP($A796,'Plano de Contas'!#REF!,7)),"",VLOOKUP($A796,'Plano de Contas'!#REF!,7))</f>
        <v/>
      </c>
    </row>
    <row r="797" spans="12:16" x14ac:dyDescent="0.25">
      <c r="L797" s="1">
        <f t="shared" si="12"/>
        <v>0</v>
      </c>
      <c r="N797" s="6" t="str">
        <f>IF(ISERROR(VLOOKUP($A797,'Plano de Contas'!#REF!,7)),"",VLOOKUP($A797,'Plano de Contas'!#REF!,7))</f>
        <v/>
      </c>
    </row>
    <row r="798" spans="12:16" x14ac:dyDescent="0.25">
      <c r="L798" s="1">
        <f t="shared" si="12"/>
        <v>0</v>
      </c>
      <c r="N798" s="6" t="str">
        <f>IF(ISERROR(VLOOKUP($A798,'Plano de Contas'!#REF!,7)),"",VLOOKUP($A798,'Plano de Contas'!#REF!,7))</f>
        <v/>
      </c>
    </row>
    <row r="799" spans="12:16" x14ac:dyDescent="0.25">
      <c r="L799" s="1">
        <f t="shared" si="12"/>
        <v>0</v>
      </c>
      <c r="N799" s="6" t="str">
        <f>IF(ISERROR(VLOOKUP($A799,'Plano de Contas'!#REF!,7)),"",VLOOKUP($A799,'Plano de Contas'!#REF!,7))</f>
        <v/>
      </c>
    </row>
    <row r="800" spans="12:16" x14ac:dyDescent="0.25">
      <c r="L800" s="1">
        <f t="shared" si="12"/>
        <v>0</v>
      </c>
      <c r="N800" s="6" t="str">
        <f>IF(ISERROR(VLOOKUP($A800,'Plano de Contas'!#REF!,7)),"",VLOOKUP($A800,'Plano de Contas'!#REF!,7))</f>
        <v/>
      </c>
    </row>
    <row r="801" spans="12:14" x14ac:dyDescent="0.25">
      <c r="L801" s="1">
        <f t="shared" si="12"/>
        <v>0</v>
      </c>
      <c r="N801" s="6" t="str">
        <f>IF(ISERROR(VLOOKUP($A801,'Plano de Contas'!#REF!,7)),"",VLOOKUP($A801,'Plano de Contas'!#REF!,7))</f>
        <v/>
      </c>
    </row>
    <row r="802" spans="12:14" x14ac:dyDescent="0.25">
      <c r="L802" s="1">
        <f t="shared" si="12"/>
        <v>0</v>
      </c>
      <c r="N802" s="6" t="str">
        <f>IF(ISERROR(VLOOKUP($A802,'Plano de Contas'!#REF!,7)),"",VLOOKUP($A802,'Plano de Contas'!#REF!,7))</f>
        <v/>
      </c>
    </row>
    <row r="803" spans="12:14" x14ac:dyDescent="0.25">
      <c r="L803" s="1">
        <f t="shared" si="12"/>
        <v>0</v>
      </c>
      <c r="N803" s="6" t="str">
        <f>IF(ISERROR(VLOOKUP($A803,'Plano de Contas'!#REF!,7)),"",VLOOKUP($A803,'Plano de Contas'!#REF!,7))</f>
        <v/>
      </c>
    </row>
    <row r="804" spans="12:14" x14ac:dyDescent="0.25">
      <c r="L804" s="1">
        <f t="shared" si="12"/>
        <v>0</v>
      </c>
      <c r="N804" s="6" t="str">
        <f>IF(ISERROR(VLOOKUP($A804,'Plano de Contas'!#REF!,7)),"",VLOOKUP($A804,'Plano de Contas'!#REF!,7))</f>
        <v/>
      </c>
    </row>
    <row r="805" spans="12:14" x14ac:dyDescent="0.25">
      <c r="L805" s="1">
        <f t="shared" si="12"/>
        <v>0</v>
      </c>
      <c r="N805" s="6" t="str">
        <f>IF(ISERROR(VLOOKUP($A805,'Plano de Contas'!#REF!,7)),"",VLOOKUP($A805,'Plano de Contas'!#REF!,7))</f>
        <v/>
      </c>
    </row>
    <row r="806" spans="12:14" x14ac:dyDescent="0.25">
      <c r="L806" s="1">
        <f t="shared" si="12"/>
        <v>0</v>
      </c>
      <c r="N806" s="6" t="str">
        <f>IF(ISERROR(VLOOKUP($A806,'Plano de Contas'!#REF!,7)),"",VLOOKUP($A806,'Plano de Contas'!#REF!,7))</f>
        <v/>
      </c>
    </row>
    <row r="807" spans="12:14" x14ac:dyDescent="0.25">
      <c r="L807" s="1">
        <f t="shared" si="12"/>
        <v>0</v>
      </c>
      <c r="N807" s="6" t="str">
        <f>IF(ISERROR(VLOOKUP($A807,'Plano de Contas'!#REF!,7)),"",VLOOKUP($A807,'Plano de Contas'!#REF!,7))</f>
        <v/>
      </c>
    </row>
    <row r="808" spans="12:14" x14ac:dyDescent="0.25">
      <c r="L808" s="1">
        <f t="shared" si="12"/>
        <v>0</v>
      </c>
      <c r="N808" s="6" t="str">
        <f>IF(ISERROR(VLOOKUP($A808,'Plano de Contas'!#REF!,7)),"",VLOOKUP($A808,'Plano de Contas'!#REF!,7))</f>
        <v/>
      </c>
    </row>
    <row r="809" spans="12:14" x14ac:dyDescent="0.25">
      <c r="L809" s="1">
        <f t="shared" si="12"/>
        <v>0</v>
      </c>
      <c r="N809" s="6" t="str">
        <f>IF(ISERROR(VLOOKUP($A809,'Plano de Contas'!#REF!,7)),"",VLOOKUP($A809,'Plano de Contas'!#REF!,7))</f>
        <v/>
      </c>
    </row>
    <row r="810" spans="12:14" x14ac:dyDescent="0.25">
      <c r="L810" s="1">
        <f t="shared" si="12"/>
        <v>0</v>
      </c>
      <c r="N810" s="6" t="str">
        <f>IF(ISERROR(VLOOKUP($A810,'Plano de Contas'!#REF!,7)),"",VLOOKUP($A810,'Plano de Contas'!#REF!,7))</f>
        <v/>
      </c>
    </row>
    <row r="811" spans="12:14" x14ac:dyDescent="0.25">
      <c r="L811" s="1">
        <f t="shared" si="12"/>
        <v>0</v>
      </c>
      <c r="N811" s="6" t="str">
        <f>IF(ISERROR(VLOOKUP($A811,'Plano de Contas'!#REF!,7)),"",VLOOKUP($A811,'Plano de Contas'!#REF!,7))</f>
        <v/>
      </c>
    </row>
    <row r="812" spans="12:14" x14ac:dyDescent="0.25">
      <c r="L812" s="1">
        <f t="shared" si="12"/>
        <v>0</v>
      </c>
      <c r="N812" s="6" t="str">
        <f>IF(ISERROR(VLOOKUP($A812,'Plano de Contas'!#REF!,7)),"",VLOOKUP($A812,'Plano de Contas'!#REF!,7))</f>
        <v/>
      </c>
    </row>
    <row r="813" spans="12:14" x14ac:dyDescent="0.25">
      <c r="L813" s="1">
        <f t="shared" si="12"/>
        <v>0</v>
      </c>
      <c r="N813" s="6" t="str">
        <f>IF(ISERROR(VLOOKUP($A813,'Plano de Contas'!#REF!,7)),"",VLOOKUP($A813,'Plano de Contas'!#REF!,7))</f>
        <v/>
      </c>
    </row>
    <row r="814" spans="12:14" x14ac:dyDescent="0.25">
      <c r="L814" s="1">
        <f t="shared" si="12"/>
        <v>0</v>
      </c>
      <c r="N814" s="6" t="str">
        <f>IF(ISERROR(VLOOKUP($A814,'Plano de Contas'!#REF!,7)),"",VLOOKUP($A814,'Plano de Contas'!#REF!,7))</f>
        <v/>
      </c>
    </row>
    <row r="815" spans="12:14" x14ac:dyDescent="0.25">
      <c r="L815" s="1">
        <f t="shared" si="12"/>
        <v>0</v>
      </c>
      <c r="N815" s="6" t="str">
        <f>IF(ISERROR(VLOOKUP($A815,'Plano de Contas'!#REF!,7)),"",VLOOKUP($A815,'Plano de Contas'!#REF!,7))</f>
        <v/>
      </c>
    </row>
    <row r="816" spans="12:14" x14ac:dyDescent="0.25">
      <c r="L816" s="1">
        <f t="shared" si="12"/>
        <v>0</v>
      </c>
      <c r="N816" s="6" t="str">
        <f>IF(ISERROR(VLOOKUP($A816,'Plano de Contas'!#REF!,7)),"",VLOOKUP($A816,'Plano de Contas'!#REF!,7))</f>
        <v/>
      </c>
    </row>
    <row r="817" spans="12:14" x14ac:dyDescent="0.25">
      <c r="L817" s="1">
        <f t="shared" si="12"/>
        <v>0</v>
      </c>
      <c r="N817" s="6" t="str">
        <f>IF(ISERROR(VLOOKUP($A817,'Plano de Contas'!#REF!,7)),"",VLOOKUP($A817,'Plano de Contas'!#REF!,7))</f>
        <v/>
      </c>
    </row>
    <row r="818" spans="12:14" x14ac:dyDescent="0.25">
      <c r="L818" s="1">
        <f t="shared" si="12"/>
        <v>0</v>
      </c>
      <c r="N818" s="6" t="str">
        <f>IF(ISERROR(VLOOKUP($A818,'Plano de Contas'!#REF!,7)),"",VLOOKUP($A818,'Plano de Contas'!#REF!,7))</f>
        <v/>
      </c>
    </row>
    <row r="819" spans="12:14" x14ac:dyDescent="0.25">
      <c r="L819" s="1">
        <f t="shared" si="12"/>
        <v>0</v>
      </c>
      <c r="N819" s="6" t="str">
        <f>IF(ISERROR(VLOOKUP($A819,'Plano de Contas'!#REF!,7)),"",VLOOKUP($A819,'Plano de Contas'!#REF!,7))</f>
        <v/>
      </c>
    </row>
    <row r="820" spans="12:14" x14ac:dyDescent="0.25">
      <c r="L820" s="1">
        <f t="shared" si="12"/>
        <v>0</v>
      </c>
      <c r="N820" s="6" t="str">
        <f>IF(ISERROR(VLOOKUP($A820,'Plano de Contas'!#REF!,7)),"",VLOOKUP($A820,'Plano de Contas'!#REF!,7))</f>
        <v/>
      </c>
    </row>
    <row r="821" spans="12:14" x14ac:dyDescent="0.25">
      <c r="L821" s="1">
        <f t="shared" si="12"/>
        <v>0</v>
      </c>
      <c r="N821" s="6" t="str">
        <f>IF(ISERROR(VLOOKUP($A821,'Plano de Contas'!#REF!,7)),"",VLOOKUP($A821,'Plano de Contas'!#REF!,7))</f>
        <v/>
      </c>
    </row>
    <row r="822" spans="12:14" x14ac:dyDescent="0.25">
      <c r="L822" s="1">
        <f t="shared" si="12"/>
        <v>0</v>
      </c>
      <c r="N822" s="6" t="str">
        <f>IF(ISERROR(VLOOKUP($A822,'Plano de Contas'!#REF!,7)),"",VLOOKUP($A822,'Plano de Contas'!#REF!,7))</f>
        <v/>
      </c>
    </row>
    <row r="823" spans="12:14" x14ac:dyDescent="0.25">
      <c r="L823" s="1">
        <f t="shared" si="12"/>
        <v>0</v>
      </c>
      <c r="N823" s="6" t="str">
        <f>IF(ISERROR(VLOOKUP($A823,'Plano de Contas'!#REF!,7)),"",VLOOKUP($A823,'Plano de Contas'!#REF!,7))</f>
        <v/>
      </c>
    </row>
    <row r="824" spans="12:14" x14ac:dyDescent="0.25">
      <c r="L824" s="1">
        <f t="shared" si="12"/>
        <v>0</v>
      </c>
      <c r="N824" s="6" t="str">
        <f>IF(ISERROR(VLOOKUP($A824,'Plano de Contas'!#REF!,7)),"",VLOOKUP($A824,'Plano de Contas'!#REF!,7))</f>
        <v/>
      </c>
    </row>
    <row r="825" spans="12:14" x14ac:dyDescent="0.25">
      <c r="L825" s="1">
        <f t="shared" si="12"/>
        <v>0</v>
      </c>
      <c r="N825" s="6" t="str">
        <f>IF(ISERROR(VLOOKUP($A825,'Plano de Contas'!#REF!,7)),"",VLOOKUP($A825,'Plano de Contas'!#REF!,7))</f>
        <v/>
      </c>
    </row>
    <row r="826" spans="12:14" x14ac:dyDescent="0.25">
      <c r="L826" s="1">
        <f t="shared" si="12"/>
        <v>0</v>
      </c>
      <c r="N826" s="6" t="str">
        <f>IF(ISERROR(VLOOKUP($A826,'Plano de Contas'!#REF!,7)),"",VLOOKUP($A826,'Plano de Contas'!#REF!,7))</f>
        <v/>
      </c>
    </row>
    <row r="827" spans="12:14" x14ac:dyDescent="0.25">
      <c r="L827" s="1">
        <f t="shared" si="12"/>
        <v>0</v>
      </c>
      <c r="N827" s="6" t="str">
        <f>IF(ISERROR(VLOOKUP($A827,'Plano de Contas'!#REF!,7)),"",VLOOKUP($A827,'Plano de Contas'!#REF!,7))</f>
        <v/>
      </c>
    </row>
    <row r="828" spans="12:14" x14ac:dyDescent="0.25">
      <c r="L828" s="1">
        <f t="shared" si="12"/>
        <v>0</v>
      </c>
      <c r="N828" s="6" t="str">
        <f>IF(ISERROR(VLOOKUP($A828,'Plano de Contas'!#REF!,7)),"",VLOOKUP($A828,'Plano de Contas'!#REF!,7))</f>
        <v/>
      </c>
    </row>
    <row r="829" spans="12:14" x14ac:dyDescent="0.25">
      <c r="L829" s="1">
        <f t="shared" si="12"/>
        <v>0</v>
      </c>
      <c r="N829" s="6" t="str">
        <f>IF(ISERROR(VLOOKUP($A829,'Plano de Contas'!#REF!,7)),"",VLOOKUP($A829,'Plano de Contas'!#REF!,7))</f>
        <v/>
      </c>
    </row>
    <row r="830" spans="12:14" x14ac:dyDescent="0.25">
      <c r="L830" s="1">
        <f t="shared" si="12"/>
        <v>0</v>
      </c>
      <c r="N830" s="6" t="str">
        <f>IF(ISERROR(VLOOKUP($A830,'Plano de Contas'!#REF!,7)),"",VLOOKUP($A830,'Plano de Contas'!#REF!,7))</f>
        <v/>
      </c>
    </row>
    <row r="831" spans="12:14" x14ac:dyDescent="0.25">
      <c r="L831" s="1">
        <f t="shared" si="12"/>
        <v>0</v>
      </c>
      <c r="N831" s="6" t="str">
        <f>IF(ISERROR(VLOOKUP($A831,'Plano de Contas'!#REF!,7)),"",VLOOKUP($A831,'Plano de Contas'!#REF!,7))</f>
        <v/>
      </c>
    </row>
    <row r="832" spans="12:14" x14ac:dyDescent="0.25">
      <c r="L832" s="1">
        <f t="shared" si="12"/>
        <v>0</v>
      </c>
      <c r="N832" s="6" t="str">
        <f>IF(ISERROR(VLOOKUP($A832,'Plano de Contas'!#REF!,7)),"",VLOOKUP($A832,'Plano de Contas'!#REF!,7))</f>
        <v/>
      </c>
    </row>
    <row r="833" spans="12:14" x14ac:dyDescent="0.25">
      <c r="L833" s="1">
        <f t="shared" si="12"/>
        <v>0</v>
      </c>
      <c r="N833" s="6" t="str">
        <f>IF(ISERROR(VLOOKUP($A833,'Plano de Contas'!#REF!,7)),"",VLOOKUP($A833,'Plano de Contas'!#REF!,7))</f>
        <v/>
      </c>
    </row>
    <row r="834" spans="12:14" x14ac:dyDescent="0.25">
      <c r="L834" s="1">
        <f t="shared" si="12"/>
        <v>0</v>
      </c>
      <c r="N834" s="6" t="str">
        <f>IF(ISERROR(VLOOKUP($A834,'Plano de Contas'!#REF!,7)),"",VLOOKUP($A834,'Plano de Contas'!#REF!,7))</f>
        <v/>
      </c>
    </row>
    <row r="835" spans="12:14" x14ac:dyDescent="0.25">
      <c r="L835" s="1">
        <f t="shared" si="12"/>
        <v>0</v>
      </c>
      <c r="N835" s="6" t="str">
        <f>IF(ISERROR(VLOOKUP($A835,'Plano de Contas'!#REF!,7)),"",VLOOKUP($A835,'Plano de Contas'!#REF!,7))</f>
        <v/>
      </c>
    </row>
    <row r="836" spans="12:14" x14ac:dyDescent="0.25">
      <c r="L836" s="1">
        <f t="shared" si="12"/>
        <v>0</v>
      </c>
      <c r="N836" s="6" t="str">
        <f>IF(ISERROR(VLOOKUP($A836,'Plano de Contas'!#REF!,7)),"",VLOOKUP($A836,'Plano de Contas'!#REF!,7))</f>
        <v/>
      </c>
    </row>
    <row r="837" spans="12:14" x14ac:dyDescent="0.25">
      <c r="L837" s="1">
        <f t="shared" si="12"/>
        <v>0</v>
      </c>
      <c r="N837" s="6" t="str">
        <f>IF(ISERROR(VLOOKUP($A837,'Plano de Contas'!#REF!,7)),"",VLOOKUP($A837,'Plano de Contas'!#REF!,7))</f>
        <v/>
      </c>
    </row>
    <row r="838" spans="12:14" x14ac:dyDescent="0.25">
      <c r="L838" s="1">
        <f t="shared" si="12"/>
        <v>0</v>
      </c>
      <c r="N838" s="6" t="str">
        <f>IF(ISERROR(VLOOKUP($A838,'Plano de Contas'!#REF!,7)),"",VLOOKUP($A838,'Plano de Contas'!#REF!,7))</f>
        <v/>
      </c>
    </row>
    <row r="839" spans="12:14" x14ac:dyDescent="0.25">
      <c r="L839" s="1">
        <f t="shared" si="12"/>
        <v>0</v>
      </c>
      <c r="N839" s="6" t="str">
        <f>IF(ISERROR(VLOOKUP($A839,'Plano de Contas'!#REF!,7)),"",VLOOKUP($A839,'Plano de Contas'!#REF!,7))</f>
        <v/>
      </c>
    </row>
    <row r="840" spans="12:14" x14ac:dyDescent="0.25">
      <c r="L840" s="1">
        <f t="shared" si="12"/>
        <v>0</v>
      </c>
      <c r="N840" s="6" t="str">
        <f>IF(ISERROR(VLOOKUP($A840,'Plano de Contas'!#REF!,7)),"",VLOOKUP($A840,'Plano de Contas'!#REF!,7))</f>
        <v/>
      </c>
    </row>
    <row r="841" spans="12:14" x14ac:dyDescent="0.25">
      <c r="L841" s="1">
        <f t="shared" si="12"/>
        <v>0</v>
      </c>
      <c r="N841" s="6" t="str">
        <f>IF(ISERROR(VLOOKUP($A841,'Plano de Contas'!#REF!,7)),"",VLOOKUP($A841,'Plano de Contas'!#REF!,7))</f>
        <v/>
      </c>
    </row>
    <row r="842" spans="12:14" x14ac:dyDescent="0.25">
      <c r="L842" s="1">
        <f t="shared" si="12"/>
        <v>0</v>
      </c>
      <c r="N842" s="6" t="str">
        <f>IF(ISERROR(VLOOKUP($A842,'Plano de Contas'!#REF!,7)),"",VLOOKUP($A842,'Plano de Contas'!#REF!,7))</f>
        <v/>
      </c>
    </row>
    <row r="843" spans="12:14" x14ac:dyDescent="0.25">
      <c r="L843" s="1">
        <f t="shared" si="12"/>
        <v>0</v>
      </c>
      <c r="N843" s="6" t="str">
        <f>IF(ISERROR(VLOOKUP($A843,'Plano de Contas'!#REF!,7)),"",VLOOKUP($A843,'Plano de Contas'!#REF!,7))</f>
        <v/>
      </c>
    </row>
    <row r="844" spans="12:14" x14ac:dyDescent="0.25">
      <c r="L844" s="1">
        <f t="shared" ref="L844:L907" si="13">IF(K844="-",-J844,J844)</f>
        <v>0</v>
      </c>
      <c r="N844" s="6" t="str">
        <f>IF(ISERROR(VLOOKUP($A844,'Plano de Contas'!#REF!,7)),"",VLOOKUP($A844,'Plano de Contas'!#REF!,7))</f>
        <v/>
      </c>
    </row>
    <row r="845" spans="12:14" x14ac:dyDescent="0.25">
      <c r="L845" s="1">
        <f t="shared" si="13"/>
        <v>0</v>
      </c>
      <c r="N845" s="6" t="str">
        <f>IF(ISERROR(VLOOKUP($A845,'Plano de Contas'!#REF!,7)),"",VLOOKUP($A845,'Plano de Contas'!#REF!,7))</f>
        <v/>
      </c>
    </row>
    <row r="846" spans="12:14" x14ac:dyDescent="0.25">
      <c r="L846" s="1">
        <f t="shared" si="13"/>
        <v>0</v>
      </c>
      <c r="N846" s="6" t="str">
        <f>IF(ISERROR(VLOOKUP($A846,'Plano de Contas'!#REF!,7)),"",VLOOKUP($A846,'Plano de Contas'!#REF!,7))</f>
        <v/>
      </c>
    </row>
    <row r="847" spans="12:14" x14ac:dyDescent="0.25">
      <c r="L847" s="1">
        <f t="shared" si="13"/>
        <v>0</v>
      </c>
      <c r="N847" s="6" t="str">
        <f>IF(ISERROR(VLOOKUP($A847,'Plano de Contas'!#REF!,7)),"",VLOOKUP($A847,'Plano de Contas'!#REF!,7))</f>
        <v/>
      </c>
    </row>
    <row r="848" spans="12:14" x14ac:dyDescent="0.25">
      <c r="L848" s="1">
        <f t="shared" si="13"/>
        <v>0</v>
      </c>
      <c r="N848" s="6" t="str">
        <f>IF(ISERROR(VLOOKUP($A848,'Plano de Contas'!#REF!,7)),"",VLOOKUP($A848,'Plano de Contas'!#REF!,7))</f>
        <v/>
      </c>
    </row>
    <row r="849" spans="12:14" x14ac:dyDescent="0.25">
      <c r="L849" s="1">
        <f t="shared" si="13"/>
        <v>0</v>
      </c>
      <c r="N849" s="6" t="str">
        <f>IF(ISERROR(VLOOKUP($A849,'Plano de Contas'!#REF!,7)),"",VLOOKUP($A849,'Plano de Contas'!#REF!,7))</f>
        <v/>
      </c>
    </row>
    <row r="850" spans="12:14" x14ac:dyDescent="0.25">
      <c r="L850" s="1">
        <f t="shared" si="13"/>
        <v>0</v>
      </c>
      <c r="N850" s="6" t="str">
        <f>IF(ISERROR(VLOOKUP($A850,'Plano de Contas'!#REF!,7)),"",VLOOKUP($A850,'Plano de Contas'!#REF!,7))</f>
        <v/>
      </c>
    </row>
    <row r="851" spans="12:14" x14ac:dyDescent="0.25">
      <c r="L851" s="1">
        <f t="shared" si="13"/>
        <v>0</v>
      </c>
      <c r="N851" s="6" t="str">
        <f>IF(ISERROR(VLOOKUP($A851,'Plano de Contas'!#REF!,7)),"",VLOOKUP($A851,'Plano de Contas'!#REF!,7))</f>
        <v/>
      </c>
    </row>
    <row r="852" spans="12:14" x14ac:dyDescent="0.25">
      <c r="L852" s="1">
        <f t="shared" si="13"/>
        <v>0</v>
      </c>
      <c r="N852" s="6" t="str">
        <f>IF(ISERROR(VLOOKUP($A852,'Plano de Contas'!#REF!,7)),"",VLOOKUP($A852,'Plano de Contas'!#REF!,7))</f>
        <v/>
      </c>
    </row>
    <row r="853" spans="12:14" x14ac:dyDescent="0.25">
      <c r="L853" s="1">
        <f t="shared" si="13"/>
        <v>0</v>
      </c>
      <c r="N853" s="6" t="str">
        <f>IF(ISERROR(VLOOKUP($A853,'Plano de Contas'!#REF!,7)),"",VLOOKUP($A853,'Plano de Contas'!#REF!,7))</f>
        <v/>
      </c>
    </row>
    <row r="854" spans="12:14" x14ac:dyDescent="0.25">
      <c r="L854" s="1">
        <f t="shared" si="13"/>
        <v>0</v>
      </c>
      <c r="N854" s="6" t="str">
        <f>IF(ISERROR(VLOOKUP($A854,'Plano de Contas'!#REF!,7)),"",VLOOKUP($A854,'Plano de Contas'!#REF!,7))</f>
        <v/>
      </c>
    </row>
    <row r="855" spans="12:14" x14ac:dyDescent="0.25">
      <c r="L855" s="1">
        <f t="shared" si="13"/>
        <v>0</v>
      </c>
      <c r="N855" s="6" t="str">
        <f>IF(ISERROR(VLOOKUP($A855,'Plano de Contas'!#REF!,7)),"",VLOOKUP($A855,'Plano de Contas'!#REF!,7))</f>
        <v/>
      </c>
    </row>
    <row r="856" spans="12:14" x14ac:dyDescent="0.25">
      <c r="L856" s="1">
        <f t="shared" si="13"/>
        <v>0</v>
      </c>
      <c r="N856" s="6" t="str">
        <f>IF(ISERROR(VLOOKUP($A856,'Plano de Contas'!#REF!,7)),"",VLOOKUP($A856,'Plano de Contas'!#REF!,7))</f>
        <v/>
      </c>
    </row>
    <row r="857" spans="12:14" x14ac:dyDescent="0.25">
      <c r="L857" s="1">
        <f t="shared" si="13"/>
        <v>0</v>
      </c>
      <c r="N857" s="6" t="str">
        <f>IF(ISERROR(VLOOKUP($A857,'Plano de Contas'!#REF!,7)),"",VLOOKUP($A857,'Plano de Contas'!#REF!,7))</f>
        <v/>
      </c>
    </row>
    <row r="858" spans="12:14" x14ac:dyDescent="0.25">
      <c r="L858" s="1">
        <f t="shared" si="13"/>
        <v>0</v>
      </c>
      <c r="N858" s="6" t="str">
        <f>IF(ISERROR(VLOOKUP($A858,'Plano de Contas'!#REF!,7)),"",VLOOKUP($A858,'Plano de Contas'!#REF!,7))</f>
        <v/>
      </c>
    </row>
    <row r="859" spans="12:14" x14ac:dyDescent="0.25">
      <c r="L859" s="1">
        <f t="shared" si="13"/>
        <v>0</v>
      </c>
      <c r="N859" s="6" t="str">
        <f>IF(ISERROR(VLOOKUP($A859,'Plano de Contas'!#REF!,7)),"",VLOOKUP($A859,'Plano de Contas'!#REF!,7))</f>
        <v/>
      </c>
    </row>
    <row r="860" spans="12:14" x14ac:dyDescent="0.25">
      <c r="L860" s="1">
        <f t="shared" si="13"/>
        <v>0</v>
      </c>
      <c r="N860" s="6" t="str">
        <f>IF(ISERROR(VLOOKUP($A860,'Plano de Contas'!#REF!,7)),"",VLOOKUP($A860,'Plano de Contas'!#REF!,7))</f>
        <v/>
      </c>
    </row>
    <row r="861" spans="12:14" x14ac:dyDescent="0.25">
      <c r="L861" s="1">
        <f t="shared" si="13"/>
        <v>0</v>
      </c>
      <c r="N861" s="6" t="str">
        <f>IF(ISERROR(VLOOKUP($A861,'Plano de Contas'!#REF!,7)),"",VLOOKUP($A861,'Plano de Contas'!#REF!,7))</f>
        <v/>
      </c>
    </row>
    <row r="862" spans="12:14" x14ac:dyDescent="0.25">
      <c r="L862" s="1">
        <f t="shared" si="13"/>
        <v>0</v>
      </c>
      <c r="N862" s="6" t="str">
        <f>IF(ISERROR(VLOOKUP($A862,'Plano de Contas'!#REF!,7)),"",VLOOKUP($A862,'Plano de Contas'!#REF!,7))</f>
        <v/>
      </c>
    </row>
    <row r="863" spans="12:14" x14ac:dyDescent="0.25">
      <c r="L863" s="1">
        <f t="shared" si="13"/>
        <v>0</v>
      </c>
      <c r="N863" s="6" t="str">
        <f>IF(ISERROR(VLOOKUP($A863,'Plano de Contas'!#REF!,7)),"",VLOOKUP($A863,'Plano de Contas'!#REF!,7))</f>
        <v/>
      </c>
    </row>
    <row r="864" spans="12:14" x14ac:dyDescent="0.25">
      <c r="L864" s="1">
        <f t="shared" si="13"/>
        <v>0</v>
      </c>
      <c r="N864" s="6" t="str">
        <f>IF(ISERROR(VLOOKUP($A864,'Plano de Contas'!#REF!,7)),"",VLOOKUP($A864,'Plano de Contas'!#REF!,7))</f>
        <v/>
      </c>
    </row>
    <row r="865" spans="12:14" x14ac:dyDescent="0.25">
      <c r="L865" s="1">
        <f t="shared" si="13"/>
        <v>0</v>
      </c>
      <c r="N865" s="6" t="str">
        <f>IF(ISERROR(VLOOKUP($A865,'Plano de Contas'!#REF!,7)),"",VLOOKUP($A865,'Plano de Contas'!#REF!,7))</f>
        <v/>
      </c>
    </row>
    <row r="866" spans="12:14" x14ac:dyDescent="0.25">
      <c r="L866" s="1">
        <f t="shared" si="13"/>
        <v>0</v>
      </c>
      <c r="N866" s="6" t="str">
        <f>IF(ISERROR(VLOOKUP($A866,'Plano de Contas'!#REF!,7)),"",VLOOKUP($A866,'Plano de Contas'!#REF!,7))</f>
        <v/>
      </c>
    </row>
    <row r="867" spans="12:14" x14ac:dyDescent="0.25">
      <c r="L867" s="1">
        <f t="shared" si="13"/>
        <v>0</v>
      </c>
      <c r="N867" s="6" t="str">
        <f>IF(ISERROR(VLOOKUP($A867,'Plano de Contas'!#REF!,7)),"",VLOOKUP($A867,'Plano de Contas'!#REF!,7))</f>
        <v/>
      </c>
    </row>
    <row r="868" spans="12:14" x14ac:dyDescent="0.25">
      <c r="L868" s="1">
        <f t="shared" si="13"/>
        <v>0</v>
      </c>
      <c r="N868" s="6" t="str">
        <f>IF(ISERROR(VLOOKUP($A868,'Plano de Contas'!#REF!,7)),"",VLOOKUP($A868,'Plano de Contas'!#REF!,7))</f>
        <v/>
      </c>
    </row>
    <row r="869" spans="12:14" x14ac:dyDescent="0.25">
      <c r="L869" s="1">
        <f t="shared" si="13"/>
        <v>0</v>
      </c>
      <c r="N869" s="6" t="str">
        <f>IF(ISERROR(VLOOKUP($A869,'Plano de Contas'!#REF!,7)),"",VLOOKUP($A869,'Plano de Contas'!#REF!,7))</f>
        <v/>
      </c>
    </row>
    <row r="870" spans="12:14" x14ac:dyDescent="0.25">
      <c r="L870" s="1">
        <f t="shared" si="13"/>
        <v>0</v>
      </c>
      <c r="N870" s="6" t="str">
        <f>IF(ISERROR(VLOOKUP($A870,'Plano de Contas'!#REF!,7)),"",VLOOKUP($A870,'Plano de Contas'!#REF!,7))</f>
        <v/>
      </c>
    </row>
    <row r="871" spans="12:14" x14ac:dyDescent="0.25">
      <c r="L871" s="1">
        <f t="shared" si="13"/>
        <v>0</v>
      </c>
      <c r="N871" s="6" t="str">
        <f>IF(ISERROR(VLOOKUP($A871,'Plano de Contas'!#REF!,7)),"",VLOOKUP($A871,'Plano de Contas'!#REF!,7))</f>
        <v/>
      </c>
    </row>
    <row r="872" spans="12:14" x14ac:dyDescent="0.25">
      <c r="L872" s="1">
        <f t="shared" si="13"/>
        <v>0</v>
      </c>
      <c r="N872" s="6" t="str">
        <f>IF(ISERROR(VLOOKUP($A872,'Plano de Contas'!#REF!,7)),"",VLOOKUP($A872,'Plano de Contas'!#REF!,7))</f>
        <v/>
      </c>
    </row>
    <row r="873" spans="12:14" x14ac:dyDescent="0.25">
      <c r="L873" s="1">
        <f t="shared" si="13"/>
        <v>0</v>
      </c>
      <c r="N873" s="6" t="str">
        <f>IF(ISERROR(VLOOKUP($A873,'Plano de Contas'!#REF!,7)),"",VLOOKUP($A873,'Plano de Contas'!#REF!,7))</f>
        <v/>
      </c>
    </row>
    <row r="874" spans="12:14" x14ac:dyDescent="0.25">
      <c r="L874" s="1">
        <f t="shared" si="13"/>
        <v>0</v>
      </c>
      <c r="N874" s="6" t="str">
        <f>IF(ISERROR(VLOOKUP($A874,'Plano de Contas'!#REF!,7)),"",VLOOKUP($A874,'Plano de Contas'!#REF!,7))</f>
        <v/>
      </c>
    </row>
    <row r="875" spans="12:14" x14ac:dyDescent="0.25">
      <c r="L875" s="1">
        <f t="shared" si="13"/>
        <v>0</v>
      </c>
      <c r="N875" s="6" t="str">
        <f>IF(ISERROR(VLOOKUP($A875,'Plano de Contas'!#REF!,7)),"",VLOOKUP($A875,'Plano de Contas'!#REF!,7))</f>
        <v/>
      </c>
    </row>
    <row r="876" spans="12:14" x14ac:dyDescent="0.25">
      <c r="L876" s="1">
        <f t="shared" si="13"/>
        <v>0</v>
      </c>
      <c r="N876" s="6" t="str">
        <f>IF(ISERROR(VLOOKUP($A876,'Plano de Contas'!#REF!,7)),"",VLOOKUP($A876,'Plano de Contas'!#REF!,7))</f>
        <v/>
      </c>
    </row>
    <row r="877" spans="12:14" x14ac:dyDescent="0.25">
      <c r="L877" s="1">
        <f t="shared" si="13"/>
        <v>0</v>
      </c>
      <c r="N877" s="6" t="str">
        <f>IF(ISERROR(VLOOKUP($A877,'Plano de Contas'!#REF!,7)),"",VLOOKUP($A877,'Plano de Contas'!#REF!,7))</f>
        <v/>
      </c>
    </row>
    <row r="878" spans="12:14" x14ac:dyDescent="0.25">
      <c r="L878" s="1">
        <f t="shared" si="13"/>
        <v>0</v>
      </c>
      <c r="N878" s="6" t="str">
        <f>IF(ISERROR(VLOOKUP($A878,'Plano de Contas'!#REF!,7)),"",VLOOKUP($A878,'Plano de Contas'!#REF!,7))</f>
        <v/>
      </c>
    </row>
    <row r="879" spans="12:14" x14ac:dyDescent="0.25">
      <c r="L879" s="1">
        <f t="shared" si="13"/>
        <v>0</v>
      </c>
      <c r="N879" s="6" t="str">
        <f>IF(ISERROR(VLOOKUP($A879,'Plano de Contas'!#REF!,7)),"",VLOOKUP($A879,'Plano de Contas'!#REF!,7))</f>
        <v/>
      </c>
    </row>
    <row r="880" spans="12:14" x14ac:dyDescent="0.25">
      <c r="L880" s="1">
        <f t="shared" si="13"/>
        <v>0</v>
      </c>
      <c r="N880" s="6" t="str">
        <f>IF(ISERROR(VLOOKUP($A880,'Plano de Contas'!#REF!,7)),"",VLOOKUP($A880,'Plano de Contas'!#REF!,7))</f>
        <v/>
      </c>
    </row>
    <row r="881" spans="12:14" x14ac:dyDescent="0.25">
      <c r="L881" s="1">
        <f t="shared" si="13"/>
        <v>0</v>
      </c>
      <c r="N881" s="6" t="str">
        <f>IF(ISERROR(VLOOKUP($A881,'Plano de Contas'!#REF!,7)),"",VLOOKUP($A881,'Plano de Contas'!#REF!,7))</f>
        <v/>
      </c>
    </row>
    <row r="882" spans="12:14" x14ac:dyDescent="0.25">
      <c r="L882" s="1">
        <f t="shared" si="13"/>
        <v>0</v>
      </c>
      <c r="N882" s="6" t="str">
        <f>IF(ISERROR(VLOOKUP($A882,'Plano de Contas'!#REF!,7)),"",VLOOKUP($A882,'Plano de Contas'!#REF!,7))</f>
        <v/>
      </c>
    </row>
    <row r="883" spans="12:14" x14ac:dyDescent="0.25">
      <c r="L883" s="1">
        <f t="shared" si="13"/>
        <v>0</v>
      </c>
      <c r="N883" s="6" t="str">
        <f>IF(ISERROR(VLOOKUP($A883,'Plano de Contas'!#REF!,7)),"",VLOOKUP($A883,'Plano de Contas'!#REF!,7))</f>
        <v/>
      </c>
    </row>
    <row r="884" spans="12:14" x14ac:dyDescent="0.25">
      <c r="L884" s="1">
        <f t="shared" si="13"/>
        <v>0</v>
      </c>
      <c r="N884" s="6" t="str">
        <f>IF(ISERROR(VLOOKUP($A884,'Plano de Contas'!#REF!,7)),"",VLOOKUP($A884,'Plano de Contas'!#REF!,7))</f>
        <v/>
      </c>
    </row>
    <row r="885" spans="12:14" x14ac:dyDescent="0.25">
      <c r="L885" s="1">
        <f t="shared" si="13"/>
        <v>0</v>
      </c>
      <c r="N885" s="6" t="str">
        <f>IF(ISERROR(VLOOKUP($A885,'Plano de Contas'!#REF!,7)),"",VLOOKUP($A885,'Plano de Contas'!#REF!,7))</f>
        <v/>
      </c>
    </row>
    <row r="886" spans="12:14" x14ac:dyDescent="0.25">
      <c r="L886" s="1">
        <f t="shared" si="13"/>
        <v>0</v>
      </c>
      <c r="N886" s="6" t="str">
        <f>IF(ISERROR(VLOOKUP($A886,'Plano de Contas'!#REF!,7)),"",VLOOKUP($A886,'Plano de Contas'!#REF!,7))</f>
        <v/>
      </c>
    </row>
    <row r="887" spans="12:14" x14ac:dyDescent="0.25">
      <c r="L887" s="1">
        <f t="shared" si="13"/>
        <v>0</v>
      </c>
      <c r="N887" s="6" t="str">
        <f>IF(ISERROR(VLOOKUP($A887,'Plano de Contas'!#REF!,7)),"",VLOOKUP($A887,'Plano de Contas'!#REF!,7))</f>
        <v/>
      </c>
    </row>
    <row r="888" spans="12:14" x14ac:dyDescent="0.25">
      <c r="L888" s="1">
        <f t="shared" si="13"/>
        <v>0</v>
      </c>
      <c r="N888" s="6" t="str">
        <f>IF(ISERROR(VLOOKUP($A888,'Plano de Contas'!#REF!,7)),"",VLOOKUP($A888,'Plano de Contas'!#REF!,7))</f>
        <v/>
      </c>
    </row>
    <row r="889" spans="12:14" x14ac:dyDescent="0.25">
      <c r="L889" s="1">
        <f t="shared" si="13"/>
        <v>0</v>
      </c>
      <c r="N889" s="6" t="str">
        <f>IF(ISERROR(VLOOKUP($A889,'Plano de Contas'!#REF!,7)),"",VLOOKUP($A889,'Plano de Contas'!#REF!,7))</f>
        <v/>
      </c>
    </row>
    <row r="890" spans="12:14" x14ac:dyDescent="0.25">
      <c r="L890" s="1">
        <f t="shared" si="13"/>
        <v>0</v>
      </c>
      <c r="N890" s="6" t="str">
        <f>IF(ISERROR(VLOOKUP($A890,'Plano de Contas'!#REF!,7)),"",VLOOKUP($A890,'Plano de Contas'!#REF!,7))</f>
        <v/>
      </c>
    </row>
    <row r="891" spans="12:14" x14ac:dyDescent="0.25">
      <c r="L891" s="1">
        <f t="shared" si="13"/>
        <v>0</v>
      </c>
      <c r="N891" s="6" t="str">
        <f>IF(ISERROR(VLOOKUP($A891,'Plano de Contas'!#REF!,7)),"",VLOOKUP($A891,'Plano de Contas'!#REF!,7))</f>
        <v/>
      </c>
    </row>
    <row r="892" spans="12:14" x14ac:dyDescent="0.25">
      <c r="L892" s="1">
        <f t="shared" si="13"/>
        <v>0</v>
      </c>
      <c r="N892" s="6" t="str">
        <f>IF(ISERROR(VLOOKUP($A892,'Plano de Contas'!#REF!,7)),"",VLOOKUP($A892,'Plano de Contas'!#REF!,7))</f>
        <v/>
      </c>
    </row>
    <row r="893" spans="12:14" x14ac:dyDescent="0.25">
      <c r="L893" s="1">
        <f t="shared" si="13"/>
        <v>0</v>
      </c>
      <c r="N893" s="6" t="str">
        <f>IF(ISERROR(VLOOKUP($A893,'Plano de Contas'!#REF!,7)),"",VLOOKUP($A893,'Plano de Contas'!#REF!,7))</f>
        <v/>
      </c>
    </row>
    <row r="894" spans="12:14" x14ac:dyDescent="0.25">
      <c r="L894" s="1">
        <f t="shared" si="13"/>
        <v>0</v>
      </c>
      <c r="N894" s="6" t="str">
        <f>IF(ISERROR(VLOOKUP($A894,'Plano de Contas'!#REF!,7)),"",VLOOKUP($A894,'Plano de Contas'!#REF!,7))</f>
        <v/>
      </c>
    </row>
    <row r="895" spans="12:14" x14ac:dyDescent="0.25">
      <c r="L895" s="1">
        <f t="shared" si="13"/>
        <v>0</v>
      </c>
      <c r="N895" s="6" t="str">
        <f>IF(ISERROR(VLOOKUP($A895,'Plano de Contas'!#REF!,7)),"",VLOOKUP($A895,'Plano de Contas'!#REF!,7))</f>
        <v/>
      </c>
    </row>
    <row r="896" spans="12:14" x14ac:dyDescent="0.25">
      <c r="L896" s="1">
        <f t="shared" si="13"/>
        <v>0</v>
      </c>
      <c r="N896" s="6" t="str">
        <f>IF(ISERROR(VLOOKUP($A896,'Plano de Contas'!#REF!,7)),"",VLOOKUP($A896,'Plano de Contas'!#REF!,7))</f>
        <v/>
      </c>
    </row>
    <row r="897" spans="12:14" x14ac:dyDescent="0.25">
      <c r="L897" s="1">
        <f t="shared" si="13"/>
        <v>0</v>
      </c>
      <c r="N897" s="6" t="str">
        <f>IF(ISERROR(VLOOKUP($A897,'Plano de Contas'!#REF!,7)),"",VLOOKUP($A897,'Plano de Contas'!#REF!,7))</f>
        <v/>
      </c>
    </row>
    <row r="898" spans="12:14" x14ac:dyDescent="0.25">
      <c r="L898" s="1">
        <f t="shared" si="13"/>
        <v>0</v>
      </c>
      <c r="N898" s="6" t="str">
        <f>IF(ISERROR(VLOOKUP($A898,'Plano de Contas'!#REF!,7)),"",VLOOKUP($A898,'Plano de Contas'!#REF!,7))</f>
        <v/>
      </c>
    </row>
    <row r="899" spans="12:14" x14ac:dyDescent="0.25">
      <c r="L899" s="1">
        <f t="shared" si="13"/>
        <v>0</v>
      </c>
      <c r="N899" s="6" t="str">
        <f>IF(ISERROR(VLOOKUP($A899,'Plano de Contas'!#REF!,7)),"",VLOOKUP($A899,'Plano de Contas'!#REF!,7))</f>
        <v/>
      </c>
    </row>
    <row r="900" spans="12:14" x14ac:dyDescent="0.25">
      <c r="L900" s="1">
        <f t="shared" si="13"/>
        <v>0</v>
      </c>
      <c r="N900" s="6" t="str">
        <f>IF(ISERROR(VLOOKUP($A900,'Plano de Contas'!#REF!,7)),"",VLOOKUP($A900,'Plano de Contas'!#REF!,7))</f>
        <v/>
      </c>
    </row>
    <row r="901" spans="12:14" x14ac:dyDescent="0.25">
      <c r="L901" s="1">
        <f t="shared" si="13"/>
        <v>0</v>
      </c>
      <c r="N901" s="6" t="str">
        <f>IF(ISERROR(VLOOKUP($A901,'Plano de Contas'!#REF!,7)),"",VLOOKUP($A901,'Plano de Contas'!#REF!,7))</f>
        <v/>
      </c>
    </row>
    <row r="902" spans="12:14" x14ac:dyDescent="0.25">
      <c r="L902" s="1">
        <f t="shared" si="13"/>
        <v>0</v>
      </c>
      <c r="N902" s="6" t="str">
        <f>IF(ISERROR(VLOOKUP($A902,'Plano de Contas'!#REF!,7)),"",VLOOKUP($A902,'Plano de Contas'!#REF!,7))</f>
        <v/>
      </c>
    </row>
    <row r="903" spans="12:14" x14ac:dyDescent="0.25">
      <c r="L903" s="1">
        <f t="shared" si="13"/>
        <v>0</v>
      </c>
      <c r="N903" s="6" t="str">
        <f>IF(ISERROR(VLOOKUP($A903,'Plano de Contas'!#REF!,7)),"",VLOOKUP($A903,'Plano de Contas'!#REF!,7))</f>
        <v/>
      </c>
    </row>
    <row r="904" spans="12:14" x14ac:dyDescent="0.25">
      <c r="L904" s="1">
        <f t="shared" si="13"/>
        <v>0</v>
      </c>
      <c r="N904" s="6" t="str">
        <f>IF(ISERROR(VLOOKUP($A904,'Plano de Contas'!#REF!,7)),"",VLOOKUP($A904,'Plano de Contas'!#REF!,7))</f>
        <v/>
      </c>
    </row>
    <row r="905" spans="12:14" x14ac:dyDescent="0.25">
      <c r="L905" s="1">
        <f t="shared" si="13"/>
        <v>0</v>
      </c>
      <c r="N905" s="6" t="str">
        <f>IF(ISERROR(VLOOKUP($A905,'Plano de Contas'!#REF!,7)),"",VLOOKUP($A905,'Plano de Contas'!#REF!,7))</f>
        <v/>
      </c>
    </row>
    <row r="906" spans="12:14" x14ac:dyDescent="0.25">
      <c r="L906" s="1">
        <f t="shared" si="13"/>
        <v>0</v>
      </c>
      <c r="N906" s="6" t="str">
        <f>IF(ISERROR(VLOOKUP($A906,'Plano de Contas'!#REF!,7)),"",VLOOKUP($A906,'Plano de Contas'!#REF!,7))</f>
        <v/>
      </c>
    </row>
    <row r="907" spans="12:14" x14ac:dyDescent="0.25">
      <c r="L907" s="1">
        <f t="shared" si="13"/>
        <v>0</v>
      </c>
      <c r="N907" s="6" t="str">
        <f>IF(ISERROR(VLOOKUP($A907,'Plano de Contas'!#REF!,7)),"",VLOOKUP($A907,'Plano de Contas'!#REF!,7))</f>
        <v/>
      </c>
    </row>
    <row r="908" spans="12:14" x14ac:dyDescent="0.25">
      <c r="L908" s="1">
        <f t="shared" ref="L908:L971" si="14">IF(K908="-",-J908,J908)</f>
        <v>0</v>
      </c>
      <c r="N908" s="6" t="str">
        <f>IF(ISERROR(VLOOKUP($A908,'Plano de Contas'!#REF!,7)),"",VLOOKUP($A908,'Plano de Contas'!#REF!,7))</f>
        <v/>
      </c>
    </row>
    <row r="909" spans="12:14" x14ac:dyDescent="0.25">
      <c r="L909" s="1">
        <f t="shared" si="14"/>
        <v>0</v>
      </c>
      <c r="N909" s="6" t="str">
        <f>IF(ISERROR(VLOOKUP($A909,'Plano de Contas'!#REF!,7)),"",VLOOKUP($A909,'Plano de Contas'!#REF!,7))</f>
        <v/>
      </c>
    </row>
    <row r="910" spans="12:14" x14ac:dyDescent="0.25">
      <c r="L910" s="1">
        <f t="shared" si="14"/>
        <v>0</v>
      </c>
      <c r="N910" s="6" t="str">
        <f>IF(ISERROR(VLOOKUP($A910,'Plano de Contas'!#REF!,7)),"",VLOOKUP($A910,'Plano de Contas'!#REF!,7))</f>
        <v/>
      </c>
    </row>
    <row r="911" spans="12:14" x14ac:dyDescent="0.25">
      <c r="L911" s="1">
        <f t="shared" si="14"/>
        <v>0</v>
      </c>
      <c r="N911" s="6" t="str">
        <f>IF(ISERROR(VLOOKUP($A911,'Plano de Contas'!#REF!,7)),"",VLOOKUP($A911,'Plano de Contas'!#REF!,7))</f>
        <v/>
      </c>
    </row>
    <row r="912" spans="12:14" x14ac:dyDescent="0.25">
      <c r="L912" s="1">
        <f t="shared" si="14"/>
        <v>0</v>
      </c>
      <c r="N912" s="6" t="str">
        <f>IF(ISERROR(VLOOKUP($A912,'Plano de Contas'!#REF!,7)),"",VLOOKUP($A912,'Plano de Contas'!#REF!,7))</f>
        <v/>
      </c>
    </row>
    <row r="913" spans="12:14" x14ac:dyDescent="0.25">
      <c r="L913" s="1">
        <f t="shared" si="14"/>
        <v>0</v>
      </c>
      <c r="N913" s="6" t="str">
        <f>IF(ISERROR(VLOOKUP($A913,'Plano de Contas'!#REF!,7)),"",VLOOKUP($A913,'Plano de Contas'!#REF!,7))</f>
        <v/>
      </c>
    </row>
    <row r="914" spans="12:14" x14ac:dyDescent="0.25">
      <c r="L914" s="1">
        <f t="shared" si="14"/>
        <v>0</v>
      </c>
      <c r="N914" s="6" t="str">
        <f>IF(ISERROR(VLOOKUP($A914,'Plano de Contas'!#REF!,7)),"",VLOOKUP($A914,'Plano de Contas'!#REF!,7))</f>
        <v/>
      </c>
    </row>
    <row r="915" spans="12:14" x14ac:dyDescent="0.25">
      <c r="L915" s="1">
        <f t="shared" si="14"/>
        <v>0</v>
      </c>
      <c r="N915" s="6" t="str">
        <f>IF(ISERROR(VLOOKUP($A915,'Plano de Contas'!#REF!,7)),"",VLOOKUP($A915,'Plano de Contas'!#REF!,7))</f>
        <v/>
      </c>
    </row>
    <row r="916" spans="12:14" x14ac:dyDescent="0.25">
      <c r="L916" s="1">
        <f t="shared" si="14"/>
        <v>0</v>
      </c>
      <c r="N916" s="6" t="str">
        <f>IF(ISERROR(VLOOKUP($A916,'Plano de Contas'!#REF!,7)),"",VLOOKUP($A916,'Plano de Contas'!#REF!,7))</f>
        <v/>
      </c>
    </row>
    <row r="917" spans="12:14" x14ac:dyDescent="0.25">
      <c r="L917" s="1">
        <f t="shared" si="14"/>
        <v>0</v>
      </c>
      <c r="N917" s="6" t="str">
        <f>IF(ISERROR(VLOOKUP($A917,'Plano de Contas'!#REF!,7)),"",VLOOKUP($A917,'Plano de Contas'!#REF!,7))</f>
        <v/>
      </c>
    </row>
    <row r="918" spans="12:14" x14ac:dyDescent="0.25">
      <c r="L918" s="1">
        <f t="shared" si="14"/>
        <v>0</v>
      </c>
      <c r="N918" s="6" t="str">
        <f>IF(ISERROR(VLOOKUP($A918,'Plano de Contas'!#REF!,7)),"",VLOOKUP($A918,'Plano de Contas'!#REF!,7))</f>
        <v/>
      </c>
    </row>
    <row r="919" spans="12:14" x14ac:dyDescent="0.25">
      <c r="L919" s="1">
        <f t="shared" si="14"/>
        <v>0</v>
      </c>
      <c r="N919" s="6" t="str">
        <f>IF(ISERROR(VLOOKUP($A919,'Plano de Contas'!#REF!,7)),"",VLOOKUP($A919,'Plano de Contas'!#REF!,7))</f>
        <v/>
      </c>
    </row>
    <row r="920" spans="12:14" x14ac:dyDescent="0.25">
      <c r="L920" s="1">
        <f t="shared" si="14"/>
        <v>0</v>
      </c>
      <c r="N920" s="6" t="str">
        <f>IF(ISERROR(VLOOKUP($A920,'Plano de Contas'!#REF!,7)),"",VLOOKUP($A920,'Plano de Contas'!#REF!,7))</f>
        <v/>
      </c>
    </row>
    <row r="921" spans="12:14" x14ac:dyDescent="0.25">
      <c r="L921" s="1">
        <f t="shared" si="14"/>
        <v>0</v>
      </c>
      <c r="N921" s="6" t="str">
        <f>IF(ISERROR(VLOOKUP($A921,'Plano de Contas'!#REF!,7)),"",VLOOKUP($A921,'Plano de Contas'!#REF!,7))</f>
        <v/>
      </c>
    </row>
    <row r="922" spans="12:14" x14ac:dyDescent="0.25">
      <c r="L922" s="1">
        <f t="shared" si="14"/>
        <v>0</v>
      </c>
      <c r="N922" s="6" t="str">
        <f>IF(ISERROR(VLOOKUP($A922,'Plano de Contas'!#REF!,7)),"",VLOOKUP($A922,'Plano de Contas'!#REF!,7))</f>
        <v/>
      </c>
    </row>
    <row r="923" spans="12:14" x14ac:dyDescent="0.25">
      <c r="L923" s="1">
        <f t="shared" si="14"/>
        <v>0</v>
      </c>
      <c r="N923" s="6" t="str">
        <f>IF(ISERROR(VLOOKUP($A923,'Plano de Contas'!#REF!,7)),"",VLOOKUP($A923,'Plano de Contas'!#REF!,7))</f>
        <v/>
      </c>
    </row>
    <row r="924" spans="12:14" x14ac:dyDescent="0.25">
      <c r="L924" s="1">
        <f t="shared" si="14"/>
        <v>0</v>
      </c>
      <c r="N924" s="6" t="str">
        <f>IF(ISERROR(VLOOKUP($A924,'Plano de Contas'!#REF!,7)),"",VLOOKUP($A924,'Plano de Contas'!#REF!,7))</f>
        <v/>
      </c>
    </row>
    <row r="925" spans="12:14" x14ac:dyDescent="0.25">
      <c r="L925" s="1">
        <f t="shared" si="14"/>
        <v>0</v>
      </c>
      <c r="N925" s="6" t="str">
        <f>IF(ISERROR(VLOOKUP($A925,'Plano de Contas'!#REF!,7)),"",VLOOKUP($A925,'Plano de Contas'!#REF!,7))</f>
        <v/>
      </c>
    </row>
    <row r="926" spans="12:14" x14ac:dyDescent="0.25">
      <c r="L926" s="1">
        <f t="shared" si="14"/>
        <v>0</v>
      </c>
      <c r="N926" s="6" t="str">
        <f>IF(ISERROR(VLOOKUP($A926,'Plano de Contas'!#REF!,7)),"",VLOOKUP($A926,'Plano de Contas'!#REF!,7))</f>
        <v/>
      </c>
    </row>
    <row r="927" spans="12:14" x14ac:dyDescent="0.25">
      <c r="L927" s="1">
        <f t="shared" si="14"/>
        <v>0</v>
      </c>
      <c r="N927" s="6" t="str">
        <f>IF(ISERROR(VLOOKUP($A927,'Plano de Contas'!#REF!,7)),"",VLOOKUP($A927,'Plano de Contas'!#REF!,7))</f>
        <v/>
      </c>
    </row>
    <row r="928" spans="12:14" x14ac:dyDescent="0.25">
      <c r="L928" s="1">
        <f t="shared" si="14"/>
        <v>0</v>
      </c>
      <c r="N928" s="6" t="str">
        <f>IF(ISERROR(VLOOKUP($A928,'Plano de Contas'!#REF!,7)),"",VLOOKUP($A928,'Plano de Contas'!#REF!,7))</f>
        <v/>
      </c>
    </row>
    <row r="929" spans="12:14" x14ac:dyDescent="0.25">
      <c r="L929" s="1">
        <f t="shared" si="14"/>
        <v>0</v>
      </c>
      <c r="N929" s="6" t="str">
        <f>IF(ISERROR(VLOOKUP($A929,'Plano de Contas'!#REF!,7)),"",VLOOKUP($A929,'Plano de Contas'!#REF!,7))</f>
        <v/>
      </c>
    </row>
    <row r="930" spans="12:14" x14ac:dyDescent="0.25">
      <c r="L930" s="1">
        <f t="shared" si="14"/>
        <v>0</v>
      </c>
      <c r="N930" s="6" t="str">
        <f>IF(ISERROR(VLOOKUP($A930,'Plano de Contas'!#REF!,7)),"",VLOOKUP($A930,'Plano de Contas'!#REF!,7))</f>
        <v/>
      </c>
    </row>
    <row r="931" spans="12:14" x14ac:dyDescent="0.25">
      <c r="L931" s="1">
        <f t="shared" si="14"/>
        <v>0</v>
      </c>
      <c r="N931" s="6" t="str">
        <f>IF(ISERROR(VLOOKUP($A931,'Plano de Contas'!#REF!,7)),"",VLOOKUP($A931,'Plano de Contas'!#REF!,7))</f>
        <v/>
      </c>
    </row>
    <row r="932" spans="12:14" x14ac:dyDescent="0.25">
      <c r="L932" s="1">
        <f t="shared" si="14"/>
        <v>0</v>
      </c>
      <c r="N932" s="6" t="str">
        <f>IF(ISERROR(VLOOKUP($A932,'Plano de Contas'!#REF!,7)),"",VLOOKUP($A932,'Plano de Contas'!#REF!,7))</f>
        <v/>
      </c>
    </row>
    <row r="933" spans="12:14" x14ac:dyDescent="0.25">
      <c r="L933" s="1">
        <f t="shared" si="14"/>
        <v>0</v>
      </c>
      <c r="N933" s="6" t="str">
        <f>IF(ISERROR(VLOOKUP($A933,'Plano de Contas'!#REF!,7)),"",VLOOKUP($A933,'Plano de Contas'!#REF!,7))</f>
        <v/>
      </c>
    </row>
    <row r="934" spans="12:14" x14ac:dyDescent="0.25">
      <c r="L934" s="1">
        <f t="shared" si="14"/>
        <v>0</v>
      </c>
      <c r="N934" s="6" t="str">
        <f>IF(ISERROR(VLOOKUP($A934,'Plano de Contas'!#REF!,7)),"",VLOOKUP($A934,'Plano de Contas'!#REF!,7))</f>
        <v/>
      </c>
    </row>
    <row r="935" spans="12:14" x14ac:dyDescent="0.25">
      <c r="L935" s="1">
        <f t="shared" si="14"/>
        <v>0</v>
      </c>
      <c r="N935" s="6" t="str">
        <f>IF(ISERROR(VLOOKUP($A935,'Plano de Contas'!#REF!,7)),"",VLOOKUP($A935,'Plano de Contas'!#REF!,7))</f>
        <v/>
      </c>
    </row>
    <row r="936" spans="12:14" x14ac:dyDescent="0.25">
      <c r="L936" s="1">
        <f t="shared" si="14"/>
        <v>0</v>
      </c>
      <c r="N936" s="6" t="str">
        <f>IF(ISERROR(VLOOKUP($A936,'Plano de Contas'!#REF!,7)),"",VLOOKUP($A936,'Plano de Contas'!#REF!,7))</f>
        <v/>
      </c>
    </row>
    <row r="937" spans="12:14" x14ac:dyDescent="0.25">
      <c r="L937" s="1">
        <f t="shared" si="14"/>
        <v>0</v>
      </c>
      <c r="N937" s="6" t="str">
        <f>IF(ISERROR(VLOOKUP($A937,'Plano de Contas'!#REF!,7)),"",VLOOKUP($A937,'Plano de Contas'!#REF!,7))</f>
        <v/>
      </c>
    </row>
    <row r="938" spans="12:14" x14ac:dyDescent="0.25">
      <c r="L938" s="1">
        <f t="shared" si="14"/>
        <v>0</v>
      </c>
      <c r="N938" s="6" t="str">
        <f>IF(ISERROR(VLOOKUP($A938,'Plano de Contas'!#REF!,7)),"",VLOOKUP($A938,'Plano de Contas'!#REF!,7))</f>
        <v/>
      </c>
    </row>
    <row r="939" spans="12:14" x14ac:dyDescent="0.25">
      <c r="L939" s="1">
        <f t="shared" si="14"/>
        <v>0</v>
      </c>
      <c r="N939" s="6" t="str">
        <f>IF(ISERROR(VLOOKUP($A939,'Plano de Contas'!#REF!,7)),"",VLOOKUP($A939,'Plano de Contas'!#REF!,7))</f>
        <v/>
      </c>
    </row>
    <row r="940" spans="12:14" x14ac:dyDescent="0.25">
      <c r="L940" s="1">
        <f t="shared" si="14"/>
        <v>0</v>
      </c>
      <c r="N940" s="6" t="str">
        <f>IF(ISERROR(VLOOKUP($A940,'Plano de Contas'!#REF!,7)),"",VLOOKUP($A940,'Plano de Contas'!#REF!,7))</f>
        <v/>
      </c>
    </row>
    <row r="941" spans="12:14" x14ac:dyDescent="0.25">
      <c r="L941" s="1">
        <f t="shared" si="14"/>
        <v>0</v>
      </c>
      <c r="N941" s="6" t="str">
        <f>IF(ISERROR(VLOOKUP($A941,'Plano de Contas'!#REF!,7)),"",VLOOKUP($A941,'Plano de Contas'!#REF!,7))</f>
        <v/>
      </c>
    </row>
    <row r="942" spans="12:14" x14ac:dyDescent="0.25">
      <c r="L942" s="1">
        <f t="shared" si="14"/>
        <v>0</v>
      </c>
      <c r="N942" s="6" t="str">
        <f>IF(ISERROR(VLOOKUP($A942,'Plano de Contas'!#REF!,7)),"",VLOOKUP($A942,'Plano de Contas'!#REF!,7))</f>
        <v/>
      </c>
    </row>
    <row r="943" spans="12:14" x14ac:dyDescent="0.25">
      <c r="L943" s="1">
        <f t="shared" si="14"/>
        <v>0</v>
      </c>
      <c r="N943" s="6" t="str">
        <f>IF(ISERROR(VLOOKUP($A943,'Plano de Contas'!#REF!,7)),"",VLOOKUP($A943,'Plano de Contas'!#REF!,7))</f>
        <v/>
      </c>
    </row>
    <row r="944" spans="12:14" x14ac:dyDescent="0.25">
      <c r="L944" s="1">
        <f t="shared" si="14"/>
        <v>0</v>
      </c>
      <c r="N944" s="6" t="str">
        <f>IF(ISERROR(VLOOKUP($A944,'Plano de Contas'!#REF!,7)),"",VLOOKUP($A944,'Plano de Contas'!#REF!,7))</f>
        <v/>
      </c>
    </row>
    <row r="945" spans="12:14" x14ac:dyDescent="0.25">
      <c r="L945" s="1">
        <f t="shared" si="14"/>
        <v>0</v>
      </c>
      <c r="N945" s="6" t="str">
        <f>IF(ISERROR(VLOOKUP($A945,'Plano de Contas'!#REF!,7)),"",VLOOKUP($A945,'Plano de Contas'!#REF!,7))</f>
        <v/>
      </c>
    </row>
    <row r="946" spans="12:14" x14ac:dyDescent="0.25">
      <c r="L946" s="1">
        <f t="shared" si="14"/>
        <v>0</v>
      </c>
      <c r="N946" s="6" t="str">
        <f>IF(ISERROR(VLOOKUP($A946,'Plano de Contas'!#REF!,7)),"",VLOOKUP($A946,'Plano de Contas'!#REF!,7))</f>
        <v/>
      </c>
    </row>
    <row r="947" spans="12:14" x14ac:dyDescent="0.25">
      <c r="L947" s="1">
        <f t="shared" si="14"/>
        <v>0</v>
      </c>
      <c r="N947" s="6" t="str">
        <f>IF(ISERROR(VLOOKUP($A947,'Plano de Contas'!#REF!,7)),"",VLOOKUP($A947,'Plano de Contas'!#REF!,7))</f>
        <v/>
      </c>
    </row>
    <row r="948" spans="12:14" x14ac:dyDescent="0.25">
      <c r="L948" s="1">
        <f t="shared" si="14"/>
        <v>0</v>
      </c>
      <c r="N948" s="6" t="str">
        <f>IF(ISERROR(VLOOKUP($A948,'Plano de Contas'!#REF!,7)),"",VLOOKUP($A948,'Plano de Contas'!#REF!,7))</f>
        <v/>
      </c>
    </row>
    <row r="949" spans="12:14" x14ac:dyDescent="0.25">
      <c r="L949" s="1">
        <f t="shared" si="14"/>
        <v>0</v>
      </c>
      <c r="N949" s="6" t="str">
        <f>IF(ISERROR(VLOOKUP($A949,'Plano de Contas'!#REF!,7)),"",VLOOKUP($A949,'Plano de Contas'!#REF!,7))</f>
        <v/>
      </c>
    </row>
    <row r="950" spans="12:14" x14ac:dyDescent="0.25">
      <c r="L950" s="1">
        <f t="shared" si="14"/>
        <v>0</v>
      </c>
      <c r="N950" s="6" t="str">
        <f>IF(ISERROR(VLOOKUP($A950,'Plano de Contas'!#REF!,7)),"",VLOOKUP($A950,'Plano de Contas'!#REF!,7))</f>
        <v/>
      </c>
    </row>
    <row r="951" spans="12:14" x14ac:dyDescent="0.25">
      <c r="L951" s="1">
        <f t="shared" si="14"/>
        <v>0</v>
      </c>
      <c r="N951" s="6" t="str">
        <f>IF(ISERROR(VLOOKUP($A951,'Plano de Contas'!#REF!,7)),"",VLOOKUP($A951,'Plano de Contas'!#REF!,7))</f>
        <v/>
      </c>
    </row>
    <row r="952" spans="12:14" x14ac:dyDescent="0.25">
      <c r="L952" s="1">
        <f t="shared" si="14"/>
        <v>0</v>
      </c>
      <c r="N952" s="6" t="str">
        <f>IF(ISERROR(VLOOKUP($A952,'Plano de Contas'!#REF!,7)),"",VLOOKUP($A952,'Plano de Contas'!#REF!,7))</f>
        <v/>
      </c>
    </row>
    <row r="953" spans="12:14" x14ac:dyDescent="0.25">
      <c r="L953" s="1">
        <f t="shared" si="14"/>
        <v>0</v>
      </c>
      <c r="N953" s="6" t="str">
        <f>IF(ISERROR(VLOOKUP($A953,'Plano de Contas'!#REF!,7)),"",VLOOKUP($A953,'Plano de Contas'!#REF!,7))</f>
        <v/>
      </c>
    </row>
    <row r="954" spans="12:14" x14ac:dyDescent="0.25">
      <c r="L954" s="1">
        <f t="shared" si="14"/>
        <v>0</v>
      </c>
      <c r="N954" s="6" t="str">
        <f>IF(ISERROR(VLOOKUP($A954,'Plano de Contas'!#REF!,7)),"",VLOOKUP($A954,'Plano de Contas'!#REF!,7))</f>
        <v/>
      </c>
    </row>
    <row r="955" spans="12:14" x14ac:dyDescent="0.25">
      <c r="L955" s="1">
        <f t="shared" si="14"/>
        <v>0</v>
      </c>
      <c r="N955" s="6" t="str">
        <f>IF(ISERROR(VLOOKUP($A955,'Plano de Contas'!#REF!,7)),"",VLOOKUP($A955,'Plano de Contas'!#REF!,7))</f>
        <v/>
      </c>
    </row>
    <row r="956" spans="12:14" x14ac:dyDescent="0.25">
      <c r="L956" s="1">
        <f t="shared" si="14"/>
        <v>0</v>
      </c>
      <c r="N956" s="6" t="str">
        <f>IF(ISERROR(VLOOKUP($A956,'Plano de Contas'!#REF!,7)),"",VLOOKUP($A956,'Plano de Contas'!#REF!,7))</f>
        <v/>
      </c>
    </row>
    <row r="957" spans="12:14" x14ac:dyDescent="0.25">
      <c r="L957" s="1">
        <f t="shared" si="14"/>
        <v>0</v>
      </c>
      <c r="N957" s="6" t="str">
        <f>IF(ISERROR(VLOOKUP($A957,'Plano de Contas'!#REF!,7)),"",VLOOKUP($A957,'Plano de Contas'!#REF!,7))</f>
        <v/>
      </c>
    </row>
    <row r="958" spans="12:14" x14ac:dyDescent="0.25">
      <c r="L958" s="1">
        <f t="shared" si="14"/>
        <v>0</v>
      </c>
      <c r="N958" s="6" t="str">
        <f>IF(ISERROR(VLOOKUP($A958,'Plano de Contas'!#REF!,7)),"",VLOOKUP($A958,'Plano de Contas'!#REF!,7))</f>
        <v/>
      </c>
    </row>
    <row r="959" spans="12:14" x14ac:dyDescent="0.25">
      <c r="L959" s="1">
        <f t="shared" si="14"/>
        <v>0</v>
      </c>
      <c r="N959" s="6" t="str">
        <f>IF(ISERROR(VLOOKUP($A959,'Plano de Contas'!#REF!,7)),"",VLOOKUP($A959,'Plano de Contas'!#REF!,7))</f>
        <v/>
      </c>
    </row>
    <row r="960" spans="12:14" x14ac:dyDescent="0.25">
      <c r="L960" s="1">
        <f t="shared" si="14"/>
        <v>0</v>
      </c>
      <c r="N960" s="6" t="str">
        <f>IF(ISERROR(VLOOKUP($A960,'Plano de Contas'!#REF!,7)),"",VLOOKUP($A960,'Plano de Contas'!#REF!,7))</f>
        <v/>
      </c>
    </row>
    <row r="961" spans="12:14" x14ac:dyDescent="0.25">
      <c r="L961" s="1">
        <f t="shared" si="14"/>
        <v>0</v>
      </c>
      <c r="N961" s="6" t="str">
        <f>IF(ISERROR(VLOOKUP($A961,'Plano de Contas'!#REF!,7)),"",VLOOKUP($A961,'Plano de Contas'!#REF!,7))</f>
        <v/>
      </c>
    </row>
    <row r="962" spans="12:14" x14ac:dyDescent="0.25">
      <c r="L962" s="1">
        <f t="shared" si="14"/>
        <v>0</v>
      </c>
      <c r="N962" s="6" t="str">
        <f>IF(ISERROR(VLOOKUP($A962,'Plano de Contas'!#REF!,7)),"",VLOOKUP($A962,'Plano de Contas'!#REF!,7))</f>
        <v/>
      </c>
    </row>
    <row r="963" spans="12:14" x14ac:dyDescent="0.25">
      <c r="L963" s="1">
        <f t="shared" si="14"/>
        <v>0</v>
      </c>
      <c r="N963" s="6" t="str">
        <f>IF(ISERROR(VLOOKUP($A963,'Plano de Contas'!#REF!,7)),"",VLOOKUP($A963,'Plano de Contas'!#REF!,7))</f>
        <v/>
      </c>
    </row>
    <row r="964" spans="12:14" x14ac:dyDescent="0.25">
      <c r="L964" s="1">
        <f t="shared" si="14"/>
        <v>0</v>
      </c>
      <c r="N964" s="6" t="str">
        <f>IF(ISERROR(VLOOKUP($A964,'Plano de Contas'!#REF!,7)),"",VLOOKUP($A964,'Plano de Contas'!#REF!,7))</f>
        <v/>
      </c>
    </row>
    <row r="965" spans="12:14" x14ac:dyDescent="0.25">
      <c r="L965" s="1">
        <f t="shared" si="14"/>
        <v>0</v>
      </c>
      <c r="N965" s="6" t="str">
        <f>IF(ISERROR(VLOOKUP($A965,'Plano de Contas'!#REF!,7)),"",VLOOKUP($A965,'Plano de Contas'!#REF!,7))</f>
        <v/>
      </c>
    </row>
    <row r="966" spans="12:14" x14ac:dyDescent="0.25">
      <c r="L966" s="1">
        <f t="shared" si="14"/>
        <v>0</v>
      </c>
      <c r="N966" s="6" t="str">
        <f>IF(ISERROR(VLOOKUP($A966,'Plano de Contas'!#REF!,7)),"",VLOOKUP($A966,'Plano de Contas'!#REF!,7))</f>
        <v/>
      </c>
    </row>
    <row r="967" spans="12:14" x14ac:dyDescent="0.25">
      <c r="L967" s="1">
        <f t="shared" si="14"/>
        <v>0</v>
      </c>
      <c r="N967" s="6" t="str">
        <f>IF(ISERROR(VLOOKUP($A967,'Plano de Contas'!#REF!,7)),"",VLOOKUP($A967,'Plano de Contas'!#REF!,7))</f>
        <v/>
      </c>
    </row>
    <row r="968" spans="12:14" x14ac:dyDescent="0.25">
      <c r="L968" s="1">
        <f t="shared" si="14"/>
        <v>0</v>
      </c>
      <c r="N968" s="6" t="str">
        <f>IF(ISERROR(VLOOKUP($A968,'Plano de Contas'!#REF!,7)),"",VLOOKUP($A968,'Plano de Contas'!#REF!,7))</f>
        <v/>
      </c>
    </row>
    <row r="969" spans="12:14" x14ac:dyDescent="0.25">
      <c r="L969" s="1">
        <f t="shared" si="14"/>
        <v>0</v>
      </c>
      <c r="N969" s="6" t="str">
        <f>IF(ISERROR(VLOOKUP($A969,'Plano de Contas'!#REF!,7)),"",VLOOKUP($A969,'Plano de Contas'!#REF!,7))</f>
        <v/>
      </c>
    </row>
    <row r="970" spans="12:14" x14ac:dyDescent="0.25">
      <c r="L970" s="1">
        <f t="shared" si="14"/>
        <v>0</v>
      </c>
      <c r="N970" s="6" t="str">
        <f>IF(ISERROR(VLOOKUP($A970,'Plano de Contas'!#REF!,7)),"",VLOOKUP($A970,'Plano de Contas'!#REF!,7))</f>
        <v/>
      </c>
    </row>
    <row r="971" spans="12:14" x14ac:dyDescent="0.25">
      <c r="L971" s="1">
        <f t="shared" si="14"/>
        <v>0</v>
      </c>
      <c r="N971" s="6" t="str">
        <f>IF(ISERROR(VLOOKUP($A971,'Plano de Contas'!#REF!,7)),"",VLOOKUP($A971,'Plano de Contas'!#REF!,7))</f>
        <v/>
      </c>
    </row>
    <row r="972" spans="12:14" x14ac:dyDescent="0.25">
      <c r="L972" s="1">
        <f t="shared" ref="L972:L1004" si="15">IF(K972="-",-J972,J972)</f>
        <v>0</v>
      </c>
      <c r="N972" s="6" t="str">
        <f>IF(ISERROR(VLOOKUP($A972,'Plano de Contas'!#REF!,7)),"",VLOOKUP($A972,'Plano de Contas'!#REF!,7))</f>
        <v/>
      </c>
    </row>
    <row r="973" spans="12:14" x14ac:dyDescent="0.25">
      <c r="L973" s="1">
        <f t="shared" si="15"/>
        <v>0</v>
      </c>
      <c r="N973" s="6" t="str">
        <f>IF(ISERROR(VLOOKUP($A973,'Plano de Contas'!#REF!,7)),"",VLOOKUP($A973,'Plano de Contas'!#REF!,7))</f>
        <v/>
      </c>
    </row>
    <row r="974" spans="12:14" x14ac:dyDescent="0.25">
      <c r="L974" s="1">
        <f t="shared" si="15"/>
        <v>0</v>
      </c>
      <c r="N974" s="6" t="str">
        <f>IF(ISERROR(VLOOKUP($A974,'Plano de Contas'!#REF!,7)),"",VLOOKUP($A974,'Plano de Contas'!#REF!,7))</f>
        <v/>
      </c>
    </row>
    <row r="975" spans="12:14" x14ac:dyDescent="0.25">
      <c r="L975" s="1">
        <f t="shared" si="15"/>
        <v>0</v>
      </c>
      <c r="N975" s="6" t="str">
        <f>IF(ISERROR(VLOOKUP($A975,'Plano de Contas'!#REF!,7)),"",VLOOKUP($A975,'Plano de Contas'!#REF!,7))</f>
        <v/>
      </c>
    </row>
    <row r="976" spans="12:14" x14ac:dyDescent="0.25">
      <c r="L976" s="1">
        <f t="shared" si="15"/>
        <v>0</v>
      </c>
      <c r="N976" s="6" t="str">
        <f>IF(ISERROR(VLOOKUP($A976,'Plano de Contas'!#REF!,7)),"",VLOOKUP($A976,'Plano de Contas'!#REF!,7))</f>
        <v/>
      </c>
    </row>
    <row r="977" spans="12:14" x14ac:dyDescent="0.25">
      <c r="L977" s="1">
        <f t="shared" si="15"/>
        <v>0</v>
      </c>
      <c r="N977" s="6" t="str">
        <f>IF(ISERROR(VLOOKUP($A977,'Plano de Contas'!#REF!,7)),"",VLOOKUP($A977,'Plano de Contas'!#REF!,7))</f>
        <v/>
      </c>
    </row>
    <row r="978" spans="12:14" x14ac:dyDescent="0.25">
      <c r="L978" s="1">
        <f t="shared" si="15"/>
        <v>0</v>
      </c>
      <c r="N978" s="6" t="str">
        <f>IF(ISERROR(VLOOKUP($A978,'Plano de Contas'!#REF!,7)),"",VLOOKUP($A978,'Plano de Contas'!#REF!,7))</f>
        <v/>
      </c>
    </row>
    <row r="979" spans="12:14" x14ac:dyDescent="0.25">
      <c r="L979" s="1">
        <f t="shared" si="15"/>
        <v>0</v>
      </c>
      <c r="N979" s="6" t="str">
        <f>IF(ISERROR(VLOOKUP($A979,'Plano de Contas'!#REF!,7)),"",VLOOKUP($A979,'Plano de Contas'!#REF!,7))</f>
        <v/>
      </c>
    </row>
    <row r="980" spans="12:14" x14ac:dyDescent="0.25">
      <c r="L980" s="1">
        <f t="shared" si="15"/>
        <v>0</v>
      </c>
      <c r="N980" s="6" t="str">
        <f>IF(ISERROR(VLOOKUP($A980,'Plano de Contas'!#REF!,7)),"",VLOOKUP($A980,'Plano de Contas'!#REF!,7))</f>
        <v/>
      </c>
    </row>
    <row r="981" spans="12:14" x14ac:dyDescent="0.25">
      <c r="L981" s="1">
        <f t="shared" si="15"/>
        <v>0</v>
      </c>
      <c r="N981" s="6" t="str">
        <f>IF(ISERROR(VLOOKUP($A981,'Plano de Contas'!#REF!,7)),"",VLOOKUP($A981,'Plano de Contas'!#REF!,7))</f>
        <v/>
      </c>
    </row>
    <row r="982" spans="12:14" x14ac:dyDescent="0.25">
      <c r="L982" s="1">
        <f t="shared" si="15"/>
        <v>0</v>
      </c>
      <c r="N982" s="6" t="str">
        <f>IF(ISERROR(VLOOKUP($A982,'Plano de Contas'!#REF!,7)),"",VLOOKUP($A982,'Plano de Contas'!#REF!,7))</f>
        <v/>
      </c>
    </row>
    <row r="983" spans="12:14" x14ac:dyDescent="0.25">
      <c r="L983" s="1">
        <f t="shared" si="15"/>
        <v>0</v>
      </c>
      <c r="N983" s="6" t="str">
        <f>IF(ISERROR(VLOOKUP($A983,'Plano de Contas'!#REF!,7)),"",VLOOKUP($A983,'Plano de Contas'!#REF!,7))</f>
        <v/>
      </c>
    </row>
    <row r="984" spans="12:14" x14ac:dyDescent="0.25">
      <c r="L984" s="1">
        <f t="shared" si="15"/>
        <v>0</v>
      </c>
      <c r="N984" s="6" t="str">
        <f>IF(ISERROR(VLOOKUP($A984,'Plano de Contas'!#REF!,7)),"",VLOOKUP($A984,'Plano de Contas'!#REF!,7))</f>
        <v/>
      </c>
    </row>
    <row r="985" spans="12:14" x14ac:dyDescent="0.25">
      <c r="L985" s="1">
        <f t="shared" si="15"/>
        <v>0</v>
      </c>
      <c r="N985" s="6" t="str">
        <f>IF(ISERROR(VLOOKUP($A985,'Plano de Contas'!#REF!,7)),"",VLOOKUP($A985,'Plano de Contas'!#REF!,7))</f>
        <v/>
      </c>
    </row>
    <row r="986" spans="12:14" x14ac:dyDescent="0.25">
      <c r="L986" s="1">
        <f t="shared" si="15"/>
        <v>0</v>
      </c>
      <c r="N986" s="6" t="str">
        <f>IF(ISERROR(VLOOKUP($A986,'Plano de Contas'!#REF!,7)),"",VLOOKUP($A986,'Plano de Contas'!#REF!,7))</f>
        <v/>
      </c>
    </row>
    <row r="987" spans="12:14" x14ac:dyDescent="0.25">
      <c r="L987" s="1">
        <f t="shared" si="15"/>
        <v>0</v>
      </c>
      <c r="N987" s="6" t="str">
        <f>IF(ISERROR(VLOOKUP($A987,'Plano de Contas'!#REF!,7)),"",VLOOKUP($A987,'Plano de Contas'!#REF!,7))</f>
        <v/>
      </c>
    </row>
    <row r="988" spans="12:14" x14ac:dyDescent="0.25">
      <c r="L988" s="1">
        <f t="shared" si="15"/>
        <v>0</v>
      </c>
      <c r="N988" s="6" t="str">
        <f>IF(ISERROR(VLOOKUP($A988,'Plano de Contas'!#REF!,7)),"",VLOOKUP($A988,'Plano de Contas'!#REF!,7))</f>
        <v/>
      </c>
    </row>
    <row r="989" spans="12:14" x14ac:dyDescent="0.25">
      <c r="L989" s="1">
        <f t="shared" si="15"/>
        <v>0</v>
      </c>
      <c r="N989" s="6" t="str">
        <f>IF(ISERROR(VLOOKUP($A989,'Plano de Contas'!#REF!,7)),"",VLOOKUP($A989,'Plano de Contas'!#REF!,7))</f>
        <v/>
      </c>
    </row>
    <row r="990" spans="12:14" x14ac:dyDescent="0.25">
      <c r="L990" s="1">
        <f t="shared" si="15"/>
        <v>0</v>
      </c>
      <c r="N990" s="6" t="str">
        <f>IF(ISERROR(VLOOKUP($A990,'Plano de Contas'!#REF!,7)),"",VLOOKUP($A990,'Plano de Contas'!#REF!,7))</f>
        <v/>
      </c>
    </row>
    <row r="991" spans="12:14" x14ac:dyDescent="0.25">
      <c r="L991" s="1">
        <f t="shared" si="15"/>
        <v>0</v>
      </c>
      <c r="N991" s="6" t="str">
        <f>IF(ISERROR(VLOOKUP($A991,'Plano de Contas'!#REF!,7)),"",VLOOKUP($A991,'Plano de Contas'!#REF!,7))</f>
        <v/>
      </c>
    </row>
    <row r="992" spans="12:14" x14ac:dyDescent="0.25">
      <c r="L992" s="1">
        <f t="shared" si="15"/>
        <v>0</v>
      </c>
      <c r="N992" s="6" t="str">
        <f>IF(ISERROR(VLOOKUP($A992,'Plano de Contas'!#REF!,7)),"",VLOOKUP($A992,'Plano de Contas'!#REF!,7))</f>
        <v/>
      </c>
    </row>
    <row r="993" spans="12:14" x14ac:dyDescent="0.25">
      <c r="L993" s="1">
        <f t="shared" si="15"/>
        <v>0</v>
      </c>
      <c r="N993" s="6" t="str">
        <f>IF(ISERROR(VLOOKUP($A993,'Plano de Contas'!#REF!,7)),"",VLOOKUP($A993,'Plano de Contas'!#REF!,7))</f>
        <v/>
      </c>
    </row>
    <row r="994" spans="12:14" x14ac:dyDescent="0.25">
      <c r="L994" s="1">
        <f t="shared" si="15"/>
        <v>0</v>
      </c>
      <c r="N994" s="6" t="str">
        <f>IF(ISERROR(VLOOKUP($A994,'Plano de Contas'!#REF!,7)),"",VLOOKUP($A994,'Plano de Contas'!#REF!,7))</f>
        <v/>
      </c>
    </row>
    <row r="995" spans="12:14" x14ac:dyDescent="0.25">
      <c r="L995" s="1">
        <f t="shared" si="15"/>
        <v>0</v>
      </c>
      <c r="N995" s="6" t="str">
        <f>IF(ISERROR(VLOOKUP($A995,'Plano de Contas'!#REF!,7)),"",VLOOKUP($A995,'Plano de Contas'!#REF!,7))</f>
        <v/>
      </c>
    </row>
    <row r="996" spans="12:14" x14ac:dyDescent="0.25">
      <c r="L996" s="1">
        <f t="shared" si="15"/>
        <v>0</v>
      </c>
      <c r="N996" s="6" t="str">
        <f>IF(ISERROR(VLOOKUP($A996,'Plano de Contas'!#REF!,7)),"",VLOOKUP($A996,'Plano de Contas'!#REF!,7))</f>
        <v/>
      </c>
    </row>
    <row r="997" spans="12:14" x14ac:dyDescent="0.25">
      <c r="L997" s="1">
        <f t="shared" si="15"/>
        <v>0</v>
      </c>
      <c r="N997" s="6" t="str">
        <f>IF(ISERROR(VLOOKUP($A997,'Plano de Contas'!#REF!,7)),"",VLOOKUP($A997,'Plano de Contas'!#REF!,7))</f>
        <v/>
      </c>
    </row>
    <row r="998" spans="12:14" x14ac:dyDescent="0.25">
      <c r="L998" s="1">
        <f t="shared" si="15"/>
        <v>0</v>
      </c>
      <c r="N998" s="6" t="str">
        <f>IF(ISERROR(VLOOKUP($A998,'Plano de Contas'!#REF!,7)),"",VLOOKUP($A998,'Plano de Contas'!#REF!,7))</f>
        <v/>
      </c>
    </row>
    <row r="999" spans="12:14" x14ac:dyDescent="0.25">
      <c r="L999" s="1">
        <f t="shared" si="15"/>
        <v>0</v>
      </c>
      <c r="N999" s="6" t="str">
        <f>IF(ISERROR(VLOOKUP($A999,'Plano de Contas'!#REF!,7)),"",VLOOKUP($A999,'Plano de Contas'!#REF!,7))</f>
        <v/>
      </c>
    </row>
    <row r="1000" spans="12:14" x14ac:dyDescent="0.25">
      <c r="L1000" s="1">
        <f t="shared" si="15"/>
        <v>0</v>
      </c>
      <c r="N1000" s="6" t="str">
        <f>IF(ISERROR(VLOOKUP($A1000,'Plano de Contas'!#REF!,7)),"",VLOOKUP($A1000,'Plano de Contas'!#REF!,7))</f>
        <v/>
      </c>
    </row>
    <row r="1001" spans="12:14" x14ac:dyDescent="0.25">
      <c r="L1001" s="1">
        <f t="shared" si="15"/>
        <v>0</v>
      </c>
      <c r="N1001" s="6" t="str">
        <f>IF(ISERROR(VLOOKUP($A1001,'Plano de Contas'!#REF!,7)),"",VLOOKUP($A1001,'Plano de Contas'!#REF!,7))</f>
        <v/>
      </c>
    </row>
    <row r="1002" spans="12:14" x14ac:dyDescent="0.25">
      <c r="L1002" s="1">
        <f t="shared" si="15"/>
        <v>0</v>
      </c>
      <c r="N1002" s="6" t="str">
        <f>IF(ISERROR(VLOOKUP($A1002,'Plano de Contas'!#REF!,7)),"",VLOOKUP($A1002,'Plano de Contas'!#REF!,7))</f>
        <v/>
      </c>
    </row>
    <row r="1003" spans="12:14" x14ac:dyDescent="0.25">
      <c r="L1003" s="1">
        <f t="shared" si="15"/>
        <v>0</v>
      </c>
      <c r="N1003" s="6" t="str">
        <f>IF(ISERROR(VLOOKUP($A1003,'Plano de Contas'!#REF!,7)),"",VLOOKUP($A1003,'Plano de Contas'!#REF!,7))</f>
        <v/>
      </c>
    </row>
    <row r="1004" spans="12:14" x14ac:dyDescent="0.25">
      <c r="L1004" s="1">
        <f t="shared" si="15"/>
        <v>0</v>
      </c>
      <c r="N1004" s="6" t="str">
        <f>IF(ISERROR(VLOOKUP($A1004,'Plano de Contas'!#REF!,7)),"",VLOOKUP($A1004,'Plano de Contas'!#REF!,7))</f>
        <v/>
      </c>
    </row>
  </sheetData>
  <autoFilter ref="B4:P750" xr:uid="{00000000-0009-0000-0000-000002000000}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4"/>
  <sheetViews>
    <sheetView topLeftCell="B1" zoomScale="80" zoomScaleNormal="80" workbookViewId="0">
      <pane ySplit="4" topLeftCell="A5" activePane="bottomLeft" state="frozen"/>
      <selection activeCell="B750" sqref="B750:D750"/>
      <selection pane="bottomLeft" activeCell="B750" sqref="B750:D750"/>
    </sheetView>
  </sheetViews>
  <sheetFormatPr defaultRowHeight="15" x14ac:dyDescent="0.25"/>
  <cols>
    <col min="1" max="1" width="17.28515625" bestFit="1" customWidth="1"/>
    <col min="2" max="2" width="10.5703125" bestFit="1" customWidth="1"/>
    <col min="3" max="3" width="43.85546875" bestFit="1" customWidth="1"/>
    <col min="4" max="4" width="17.28515625" bestFit="1" customWidth="1"/>
    <col min="5" max="5" width="2.140625" bestFit="1" customWidth="1"/>
    <col min="6" max="6" width="17.28515625" bestFit="1" customWidth="1"/>
    <col min="7" max="7" width="2.42578125" bestFit="1" customWidth="1"/>
    <col min="8" max="8" width="17.28515625" bestFit="1" customWidth="1"/>
    <col min="9" max="9" width="2.7109375" bestFit="1" customWidth="1"/>
    <col min="10" max="10" width="17.28515625" bestFit="1" customWidth="1"/>
    <col min="11" max="11" width="2.42578125" bestFit="1" customWidth="1"/>
    <col min="12" max="12" width="20" customWidth="1"/>
    <col min="13" max="13" width="3.5703125" style="5" customWidth="1"/>
    <col min="14" max="14" width="26.7109375" style="6" bestFit="1" customWidth="1"/>
    <col min="15" max="15" width="3" style="5" customWidth="1"/>
    <col min="16" max="16" width="26.7109375" style="6" bestFit="1" customWidth="1"/>
    <col min="17" max="257" width="9.140625" style="5"/>
    <col min="258" max="258" width="14.42578125" style="5" bestFit="1" customWidth="1"/>
    <col min="259" max="259" width="8.7109375" style="5" bestFit="1" customWidth="1"/>
    <col min="260" max="260" width="36.7109375" style="5" bestFit="1" customWidth="1"/>
    <col min="261" max="261" width="15" style="5" bestFit="1" customWidth="1"/>
    <col min="262" max="262" width="5.140625" style="5" bestFit="1" customWidth="1"/>
    <col min="263" max="263" width="15" style="5" bestFit="1" customWidth="1"/>
    <col min="264" max="264" width="5.140625" style="5" bestFit="1" customWidth="1"/>
    <col min="265" max="265" width="15" style="5" bestFit="1" customWidth="1"/>
    <col min="266" max="266" width="5.140625" style="5" bestFit="1" customWidth="1"/>
    <col min="267" max="267" width="15" style="5" bestFit="1" customWidth="1"/>
    <col min="268" max="268" width="2.140625" style="5" bestFit="1" customWidth="1"/>
    <col min="269" max="269" width="9.140625" style="5"/>
    <col min="270" max="270" width="11.140625" style="5" bestFit="1" customWidth="1"/>
    <col min="271" max="513" width="9.140625" style="5"/>
    <col min="514" max="514" width="14.42578125" style="5" bestFit="1" customWidth="1"/>
    <col min="515" max="515" width="8.7109375" style="5" bestFit="1" customWidth="1"/>
    <col min="516" max="516" width="36.7109375" style="5" bestFit="1" customWidth="1"/>
    <col min="517" max="517" width="15" style="5" bestFit="1" customWidth="1"/>
    <col min="518" max="518" width="5.140625" style="5" bestFit="1" customWidth="1"/>
    <col min="519" max="519" width="15" style="5" bestFit="1" customWidth="1"/>
    <col min="520" max="520" width="5.140625" style="5" bestFit="1" customWidth="1"/>
    <col min="521" max="521" width="15" style="5" bestFit="1" customWidth="1"/>
    <col min="522" max="522" width="5.140625" style="5" bestFit="1" customWidth="1"/>
    <col min="523" max="523" width="15" style="5" bestFit="1" customWidth="1"/>
    <col min="524" max="524" width="2.140625" style="5" bestFit="1" customWidth="1"/>
    <col min="525" max="525" width="9.140625" style="5"/>
    <col min="526" max="526" width="11.140625" style="5" bestFit="1" customWidth="1"/>
    <col min="527" max="769" width="9.140625" style="5"/>
    <col min="770" max="770" width="14.42578125" style="5" bestFit="1" customWidth="1"/>
    <col min="771" max="771" width="8.7109375" style="5" bestFit="1" customWidth="1"/>
    <col min="772" max="772" width="36.7109375" style="5" bestFit="1" customWidth="1"/>
    <col min="773" max="773" width="15" style="5" bestFit="1" customWidth="1"/>
    <col min="774" max="774" width="5.140625" style="5" bestFit="1" customWidth="1"/>
    <col min="775" max="775" width="15" style="5" bestFit="1" customWidth="1"/>
    <col min="776" max="776" width="5.140625" style="5" bestFit="1" customWidth="1"/>
    <col min="777" max="777" width="15" style="5" bestFit="1" customWidth="1"/>
    <col min="778" max="778" width="5.140625" style="5" bestFit="1" customWidth="1"/>
    <col min="779" max="779" width="15" style="5" bestFit="1" customWidth="1"/>
    <col min="780" max="780" width="2.140625" style="5" bestFit="1" customWidth="1"/>
    <col min="781" max="781" width="9.140625" style="5"/>
    <col min="782" max="782" width="11.140625" style="5" bestFit="1" customWidth="1"/>
    <col min="783" max="1025" width="9.140625" style="5"/>
    <col min="1026" max="1026" width="14.42578125" style="5" bestFit="1" customWidth="1"/>
    <col min="1027" max="1027" width="8.7109375" style="5" bestFit="1" customWidth="1"/>
    <col min="1028" max="1028" width="36.7109375" style="5" bestFit="1" customWidth="1"/>
    <col min="1029" max="1029" width="15" style="5" bestFit="1" customWidth="1"/>
    <col min="1030" max="1030" width="5.140625" style="5" bestFit="1" customWidth="1"/>
    <col min="1031" max="1031" width="15" style="5" bestFit="1" customWidth="1"/>
    <col min="1032" max="1032" width="5.140625" style="5" bestFit="1" customWidth="1"/>
    <col min="1033" max="1033" width="15" style="5" bestFit="1" customWidth="1"/>
    <col min="1034" max="1034" width="5.140625" style="5" bestFit="1" customWidth="1"/>
    <col min="1035" max="1035" width="15" style="5" bestFit="1" customWidth="1"/>
    <col min="1036" max="1036" width="2.140625" style="5" bestFit="1" customWidth="1"/>
    <col min="1037" max="1037" width="9.140625" style="5"/>
    <col min="1038" max="1038" width="11.140625" style="5" bestFit="1" customWidth="1"/>
    <col min="1039" max="1281" width="9.140625" style="5"/>
    <col min="1282" max="1282" width="14.42578125" style="5" bestFit="1" customWidth="1"/>
    <col min="1283" max="1283" width="8.7109375" style="5" bestFit="1" customWidth="1"/>
    <col min="1284" max="1284" width="36.7109375" style="5" bestFit="1" customWidth="1"/>
    <col min="1285" max="1285" width="15" style="5" bestFit="1" customWidth="1"/>
    <col min="1286" max="1286" width="5.140625" style="5" bestFit="1" customWidth="1"/>
    <col min="1287" max="1287" width="15" style="5" bestFit="1" customWidth="1"/>
    <col min="1288" max="1288" width="5.140625" style="5" bestFit="1" customWidth="1"/>
    <col min="1289" max="1289" width="15" style="5" bestFit="1" customWidth="1"/>
    <col min="1290" max="1290" width="5.140625" style="5" bestFit="1" customWidth="1"/>
    <col min="1291" max="1291" width="15" style="5" bestFit="1" customWidth="1"/>
    <col min="1292" max="1292" width="2.140625" style="5" bestFit="1" customWidth="1"/>
    <col min="1293" max="1293" width="9.140625" style="5"/>
    <col min="1294" max="1294" width="11.140625" style="5" bestFit="1" customWidth="1"/>
    <col min="1295" max="1537" width="9.140625" style="5"/>
    <col min="1538" max="1538" width="14.42578125" style="5" bestFit="1" customWidth="1"/>
    <col min="1539" max="1539" width="8.7109375" style="5" bestFit="1" customWidth="1"/>
    <col min="1540" max="1540" width="36.7109375" style="5" bestFit="1" customWidth="1"/>
    <col min="1541" max="1541" width="15" style="5" bestFit="1" customWidth="1"/>
    <col min="1542" max="1542" width="5.140625" style="5" bestFit="1" customWidth="1"/>
    <col min="1543" max="1543" width="15" style="5" bestFit="1" customWidth="1"/>
    <col min="1544" max="1544" width="5.140625" style="5" bestFit="1" customWidth="1"/>
    <col min="1545" max="1545" width="15" style="5" bestFit="1" customWidth="1"/>
    <col min="1546" max="1546" width="5.140625" style="5" bestFit="1" customWidth="1"/>
    <col min="1547" max="1547" width="15" style="5" bestFit="1" customWidth="1"/>
    <col min="1548" max="1548" width="2.140625" style="5" bestFit="1" customWidth="1"/>
    <col min="1549" max="1549" width="9.140625" style="5"/>
    <col min="1550" max="1550" width="11.140625" style="5" bestFit="1" customWidth="1"/>
    <col min="1551" max="1793" width="9.140625" style="5"/>
    <col min="1794" max="1794" width="14.42578125" style="5" bestFit="1" customWidth="1"/>
    <col min="1795" max="1795" width="8.7109375" style="5" bestFit="1" customWidth="1"/>
    <col min="1796" max="1796" width="36.7109375" style="5" bestFit="1" customWidth="1"/>
    <col min="1797" max="1797" width="15" style="5" bestFit="1" customWidth="1"/>
    <col min="1798" max="1798" width="5.140625" style="5" bestFit="1" customWidth="1"/>
    <col min="1799" max="1799" width="15" style="5" bestFit="1" customWidth="1"/>
    <col min="1800" max="1800" width="5.140625" style="5" bestFit="1" customWidth="1"/>
    <col min="1801" max="1801" width="15" style="5" bestFit="1" customWidth="1"/>
    <col min="1802" max="1802" width="5.140625" style="5" bestFit="1" customWidth="1"/>
    <col min="1803" max="1803" width="15" style="5" bestFit="1" customWidth="1"/>
    <col min="1804" max="1804" width="2.140625" style="5" bestFit="1" customWidth="1"/>
    <col min="1805" max="1805" width="9.140625" style="5"/>
    <col min="1806" max="1806" width="11.140625" style="5" bestFit="1" customWidth="1"/>
    <col min="1807" max="2049" width="9.140625" style="5"/>
    <col min="2050" max="2050" width="14.42578125" style="5" bestFit="1" customWidth="1"/>
    <col min="2051" max="2051" width="8.7109375" style="5" bestFit="1" customWidth="1"/>
    <col min="2052" max="2052" width="36.7109375" style="5" bestFit="1" customWidth="1"/>
    <col min="2053" max="2053" width="15" style="5" bestFit="1" customWidth="1"/>
    <col min="2054" max="2054" width="5.140625" style="5" bestFit="1" customWidth="1"/>
    <col min="2055" max="2055" width="15" style="5" bestFit="1" customWidth="1"/>
    <col min="2056" max="2056" width="5.140625" style="5" bestFit="1" customWidth="1"/>
    <col min="2057" max="2057" width="15" style="5" bestFit="1" customWidth="1"/>
    <col min="2058" max="2058" width="5.140625" style="5" bestFit="1" customWidth="1"/>
    <col min="2059" max="2059" width="15" style="5" bestFit="1" customWidth="1"/>
    <col min="2060" max="2060" width="2.140625" style="5" bestFit="1" customWidth="1"/>
    <col min="2061" max="2061" width="9.140625" style="5"/>
    <col min="2062" max="2062" width="11.140625" style="5" bestFit="1" customWidth="1"/>
    <col min="2063" max="2305" width="9.140625" style="5"/>
    <col min="2306" max="2306" width="14.42578125" style="5" bestFit="1" customWidth="1"/>
    <col min="2307" max="2307" width="8.7109375" style="5" bestFit="1" customWidth="1"/>
    <col min="2308" max="2308" width="36.7109375" style="5" bestFit="1" customWidth="1"/>
    <col min="2309" max="2309" width="15" style="5" bestFit="1" customWidth="1"/>
    <col min="2310" max="2310" width="5.140625" style="5" bestFit="1" customWidth="1"/>
    <col min="2311" max="2311" width="15" style="5" bestFit="1" customWidth="1"/>
    <col min="2312" max="2312" width="5.140625" style="5" bestFit="1" customWidth="1"/>
    <col min="2313" max="2313" width="15" style="5" bestFit="1" customWidth="1"/>
    <col min="2314" max="2314" width="5.140625" style="5" bestFit="1" customWidth="1"/>
    <col min="2315" max="2315" width="15" style="5" bestFit="1" customWidth="1"/>
    <col min="2316" max="2316" width="2.140625" style="5" bestFit="1" customWidth="1"/>
    <col min="2317" max="2317" width="9.140625" style="5"/>
    <col min="2318" max="2318" width="11.140625" style="5" bestFit="1" customWidth="1"/>
    <col min="2319" max="2561" width="9.140625" style="5"/>
    <col min="2562" max="2562" width="14.42578125" style="5" bestFit="1" customWidth="1"/>
    <col min="2563" max="2563" width="8.7109375" style="5" bestFit="1" customWidth="1"/>
    <col min="2564" max="2564" width="36.7109375" style="5" bestFit="1" customWidth="1"/>
    <col min="2565" max="2565" width="15" style="5" bestFit="1" customWidth="1"/>
    <col min="2566" max="2566" width="5.140625" style="5" bestFit="1" customWidth="1"/>
    <col min="2567" max="2567" width="15" style="5" bestFit="1" customWidth="1"/>
    <col min="2568" max="2568" width="5.140625" style="5" bestFit="1" customWidth="1"/>
    <col min="2569" max="2569" width="15" style="5" bestFit="1" customWidth="1"/>
    <col min="2570" max="2570" width="5.140625" style="5" bestFit="1" customWidth="1"/>
    <col min="2571" max="2571" width="15" style="5" bestFit="1" customWidth="1"/>
    <col min="2572" max="2572" width="2.140625" style="5" bestFit="1" customWidth="1"/>
    <col min="2573" max="2573" width="9.140625" style="5"/>
    <col min="2574" max="2574" width="11.140625" style="5" bestFit="1" customWidth="1"/>
    <col min="2575" max="2817" width="9.140625" style="5"/>
    <col min="2818" max="2818" width="14.42578125" style="5" bestFit="1" customWidth="1"/>
    <col min="2819" max="2819" width="8.7109375" style="5" bestFit="1" customWidth="1"/>
    <col min="2820" max="2820" width="36.7109375" style="5" bestFit="1" customWidth="1"/>
    <col min="2821" max="2821" width="15" style="5" bestFit="1" customWidth="1"/>
    <col min="2822" max="2822" width="5.140625" style="5" bestFit="1" customWidth="1"/>
    <col min="2823" max="2823" width="15" style="5" bestFit="1" customWidth="1"/>
    <col min="2824" max="2824" width="5.140625" style="5" bestFit="1" customWidth="1"/>
    <col min="2825" max="2825" width="15" style="5" bestFit="1" customWidth="1"/>
    <col min="2826" max="2826" width="5.140625" style="5" bestFit="1" customWidth="1"/>
    <col min="2827" max="2827" width="15" style="5" bestFit="1" customWidth="1"/>
    <col min="2828" max="2828" width="2.140625" style="5" bestFit="1" customWidth="1"/>
    <col min="2829" max="2829" width="9.140625" style="5"/>
    <col min="2830" max="2830" width="11.140625" style="5" bestFit="1" customWidth="1"/>
    <col min="2831" max="3073" width="9.140625" style="5"/>
    <col min="3074" max="3074" width="14.42578125" style="5" bestFit="1" customWidth="1"/>
    <col min="3075" max="3075" width="8.7109375" style="5" bestFit="1" customWidth="1"/>
    <col min="3076" max="3076" width="36.7109375" style="5" bestFit="1" customWidth="1"/>
    <col min="3077" max="3077" width="15" style="5" bestFit="1" customWidth="1"/>
    <col min="3078" max="3078" width="5.140625" style="5" bestFit="1" customWidth="1"/>
    <col min="3079" max="3079" width="15" style="5" bestFit="1" customWidth="1"/>
    <col min="3080" max="3080" width="5.140625" style="5" bestFit="1" customWidth="1"/>
    <col min="3081" max="3081" width="15" style="5" bestFit="1" customWidth="1"/>
    <col min="3082" max="3082" width="5.140625" style="5" bestFit="1" customWidth="1"/>
    <col min="3083" max="3083" width="15" style="5" bestFit="1" customWidth="1"/>
    <col min="3084" max="3084" width="2.140625" style="5" bestFit="1" customWidth="1"/>
    <col min="3085" max="3085" width="9.140625" style="5"/>
    <col min="3086" max="3086" width="11.140625" style="5" bestFit="1" customWidth="1"/>
    <col min="3087" max="3329" width="9.140625" style="5"/>
    <col min="3330" max="3330" width="14.42578125" style="5" bestFit="1" customWidth="1"/>
    <col min="3331" max="3331" width="8.7109375" style="5" bestFit="1" customWidth="1"/>
    <col min="3332" max="3332" width="36.7109375" style="5" bestFit="1" customWidth="1"/>
    <col min="3333" max="3333" width="15" style="5" bestFit="1" customWidth="1"/>
    <col min="3334" max="3334" width="5.140625" style="5" bestFit="1" customWidth="1"/>
    <col min="3335" max="3335" width="15" style="5" bestFit="1" customWidth="1"/>
    <col min="3336" max="3336" width="5.140625" style="5" bestFit="1" customWidth="1"/>
    <col min="3337" max="3337" width="15" style="5" bestFit="1" customWidth="1"/>
    <col min="3338" max="3338" width="5.140625" style="5" bestFit="1" customWidth="1"/>
    <col min="3339" max="3339" width="15" style="5" bestFit="1" customWidth="1"/>
    <col min="3340" max="3340" width="2.140625" style="5" bestFit="1" customWidth="1"/>
    <col min="3341" max="3341" width="9.140625" style="5"/>
    <col min="3342" max="3342" width="11.140625" style="5" bestFit="1" customWidth="1"/>
    <col min="3343" max="3585" width="9.140625" style="5"/>
    <col min="3586" max="3586" width="14.42578125" style="5" bestFit="1" customWidth="1"/>
    <col min="3587" max="3587" width="8.7109375" style="5" bestFit="1" customWidth="1"/>
    <col min="3588" max="3588" width="36.7109375" style="5" bestFit="1" customWidth="1"/>
    <col min="3589" max="3589" width="15" style="5" bestFit="1" customWidth="1"/>
    <col min="3590" max="3590" width="5.140625" style="5" bestFit="1" customWidth="1"/>
    <col min="3591" max="3591" width="15" style="5" bestFit="1" customWidth="1"/>
    <col min="3592" max="3592" width="5.140625" style="5" bestFit="1" customWidth="1"/>
    <col min="3593" max="3593" width="15" style="5" bestFit="1" customWidth="1"/>
    <col min="3594" max="3594" width="5.140625" style="5" bestFit="1" customWidth="1"/>
    <col min="3595" max="3595" width="15" style="5" bestFit="1" customWidth="1"/>
    <col min="3596" max="3596" width="2.140625" style="5" bestFit="1" customWidth="1"/>
    <col min="3597" max="3597" width="9.140625" style="5"/>
    <col min="3598" max="3598" width="11.140625" style="5" bestFit="1" customWidth="1"/>
    <col min="3599" max="3841" width="9.140625" style="5"/>
    <col min="3842" max="3842" width="14.42578125" style="5" bestFit="1" customWidth="1"/>
    <col min="3843" max="3843" width="8.7109375" style="5" bestFit="1" customWidth="1"/>
    <col min="3844" max="3844" width="36.7109375" style="5" bestFit="1" customWidth="1"/>
    <col min="3845" max="3845" width="15" style="5" bestFit="1" customWidth="1"/>
    <col min="3846" max="3846" width="5.140625" style="5" bestFit="1" customWidth="1"/>
    <col min="3847" max="3847" width="15" style="5" bestFit="1" customWidth="1"/>
    <col min="3848" max="3848" width="5.140625" style="5" bestFit="1" customWidth="1"/>
    <col min="3849" max="3849" width="15" style="5" bestFit="1" customWidth="1"/>
    <col min="3850" max="3850" width="5.140625" style="5" bestFit="1" customWidth="1"/>
    <col min="3851" max="3851" width="15" style="5" bestFit="1" customWidth="1"/>
    <col min="3852" max="3852" width="2.140625" style="5" bestFit="1" customWidth="1"/>
    <col min="3853" max="3853" width="9.140625" style="5"/>
    <col min="3854" max="3854" width="11.140625" style="5" bestFit="1" customWidth="1"/>
    <col min="3855" max="4097" width="9.140625" style="5"/>
    <col min="4098" max="4098" width="14.42578125" style="5" bestFit="1" customWidth="1"/>
    <col min="4099" max="4099" width="8.7109375" style="5" bestFit="1" customWidth="1"/>
    <col min="4100" max="4100" width="36.7109375" style="5" bestFit="1" customWidth="1"/>
    <col min="4101" max="4101" width="15" style="5" bestFit="1" customWidth="1"/>
    <col min="4102" max="4102" width="5.140625" style="5" bestFit="1" customWidth="1"/>
    <col min="4103" max="4103" width="15" style="5" bestFit="1" customWidth="1"/>
    <col min="4104" max="4104" width="5.140625" style="5" bestFit="1" customWidth="1"/>
    <col min="4105" max="4105" width="15" style="5" bestFit="1" customWidth="1"/>
    <col min="4106" max="4106" width="5.140625" style="5" bestFit="1" customWidth="1"/>
    <col min="4107" max="4107" width="15" style="5" bestFit="1" customWidth="1"/>
    <col min="4108" max="4108" width="2.140625" style="5" bestFit="1" customWidth="1"/>
    <col min="4109" max="4109" width="9.140625" style="5"/>
    <col min="4110" max="4110" width="11.140625" style="5" bestFit="1" customWidth="1"/>
    <col min="4111" max="4353" width="9.140625" style="5"/>
    <col min="4354" max="4354" width="14.42578125" style="5" bestFit="1" customWidth="1"/>
    <col min="4355" max="4355" width="8.7109375" style="5" bestFit="1" customWidth="1"/>
    <col min="4356" max="4356" width="36.7109375" style="5" bestFit="1" customWidth="1"/>
    <col min="4357" max="4357" width="15" style="5" bestFit="1" customWidth="1"/>
    <col min="4358" max="4358" width="5.140625" style="5" bestFit="1" customWidth="1"/>
    <col min="4359" max="4359" width="15" style="5" bestFit="1" customWidth="1"/>
    <col min="4360" max="4360" width="5.140625" style="5" bestFit="1" customWidth="1"/>
    <col min="4361" max="4361" width="15" style="5" bestFit="1" customWidth="1"/>
    <col min="4362" max="4362" width="5.140625" style="5" bestFit="1" customWidth="1"/>
    <col min="4363" max="4363" width="15" style="5" bestFit="1" customWidth="1"/>
    <col min="4364" max="4364" width="2.140625" style="5" bestFit="1" customWidth="1"/>
    <col min="4365" max="4365" width="9.140625" style="5"/>
    <col min="4366" max="4366" width="11.140625" style="5" bestFit="1" customWidth="1"/>
    <col min="4367" max="4609" width="9.140625" style="5"/>
    <col min="4610" max="4610" width="14.42578125" style="5" bestFit="1" customWidth="1"/>
    <col min="4611" max="4611" width="8.7109375" style="5" bestFit="1" customWidth="1"/>
    <col min="4612" max="4612" width="36.7109375" style="5" bestFit="1" customWidth="1"/>
    <col min="4613" max="4613" width="15" style="5" bestFit="1" customWidth="1"/>
    <col min="4614" max="4614" width="5.140625" style="5" bestFit="1" customWidth="1"/>
    <col min="4615" max="4615" width="15" style="5" bestFit="1" customWidth="1"/>
    <col min="4616" max="4616" width="5.140625" style="5" bestFit="1" customWidth="1"/>
    <col min="4617" max="4617" width="15" style="5" bestFit="1" customWidth="1"/>
    <col min="4618" max="4618" width="5.140625" style="5" bestFit="1" customWidth="1"/>
    <col min="4619" max="4619" width="15" style="5" bestFit="1" customWidth="1"/>
    <col min="4620" max="4620" width="2.140625" style="5" bestFit="1" customWidth="1"/>
    <col min="4621" max="4621" width="9.140625" style="5"/>
    <col min="4622" max="4622" width="11.140625" style="5" bestFit="1" customWidth="1"/>
    <col min="4623" max="4865" width="9.140625" style="5"/>
    <col min="4866" max="4866" width="14.42578125" style="5" bestFit="1" customWidth="1"/>
    <col min="4867" max="4867" width="8.7109375" style="5" bestFit="1" customWidth="1"/>
    <col min="4868" max="4868" width="36.7109375" style="5" bestFit="1" customWidth="1"/>
    <col min="4869" max="4869" width="15" style="5" bestFit="1" customWidth="1"/>
    <col min="4870" max="4870" width="5.140625" style="5" bestFit="1" customWidth="1"/>
    <col min="4871" max="4871" width="15" style="5" bestFit="1" customWidth="1"/>
    <col min="4872" max="4872" width="5.140625" style="5" bestFit="1" customWidth="1"/>
    <col min="4873" max="4873" width="15" style="5" bestFit="1" customWidth="1"/>
    <col min="4874" max="4874" width="5.140625" style="5" bestFit="1" customWidth="1"/>
    <col min="4875" max="4875" width="15" style="5" bestFit="1" customWidth="1"/>
    <col min="4876" max="4876" width="2.140625" style="5" bestFit="1" customWidth="1"/>
    <col min="4877" max="4877" width="9.140625" style="5"/>
    <col min="4878" max="4878" width="11.140625" style="5" bestFit="1" customWidth="1"/>
    <col min="4879" max="5121" width="9.140625" style="5"/>
    <col min="5122" max="5122" width="14.42578125" style="5" bestFit="1" customWidth="1"/>
    <col min="5123" max="5123" width="8.7109375" style="5" bestFit="1" customWidth="1"/>
    <col min="5124" max="5124" width="36.7109375" style="5" bestFit="1" customWidth="1"/>
    <col min="5125" max="5125" width="15" style="5" bestFit="1" customWidth="1"/>
    <col min="5126" max="5126" width="5.140625" style="5" bestFit="1" customWidth="1"/>
    <col min="5127" max="5127" width="15" style="5" bestFit="1" customWidth="1"/>
    <col min="5128" max="5128" width="5.140625" style="5" bestFit="1" customWidth="1"/>
    <col min="5129" max="5129" width="15" style="5" bestFit="1" customWidth="1"/>
    <col min="5130" max="5130" width="5.140625" style="5" bestFit="1" customWidth="1"/>
    <col min="5131" max="5131" width="15" style="5" bestFit="1" customWidth="1"/>
    <col min="5132" max="5132" width="2.140625" style="5" bestFit="1" customWidth="1"/>
    <col min="5133" max="5133" width="9.140625" style="5"/>
    <col min="5134" max="5134" width="11.140625" style="5" bestFit="1" customWidth="1"/>
    <col min="5135" max="5377" width="9.140625" style="5"/>
    <col min="5378" max="5378" width="14.42578125" style="5" bestFit="1" customWidth="1"/>
    <col min="5379" max="5379" width="8.7109375" style="5" bestFit="1" customWidth="1"/>
    <col min="5380" max="5380" width="36.7109375" style="5" bestFit="1" customWidth="1"/>
    <col min="5381" max="5381" width="15" style="5" bestFit="1" customWidth="1"/>
    <col min="5382" max="5382" width="5.140625" style="5" bestFit="1" customWidth="1"/>
    <col min="5383" max="5383" width="15" style="5" bestFit="1" customWidth="1"/>
    <col min="5384" max="5384" width="5.140625" style="5" bestFit="1" customWidth="1"/>
    <col min="5385" max="5385" width="15" style="5" bestFit="1" customWidth="1"/>
    <col min="5386" max="5386" width="5.140625" style="5" bestFit="1" customWidth="1"/>
    <col min="5387" max="5387" width="15" style="5" bestFit="1" customWidth="1"/>
    <col min="5388" max="5388" width="2.140625" style="5" bestFit="1" customWidth="1"/>
    <col min="5389" max="5389" width="9.140625" style="5"/>
    <col min="5390" max="5390" width="11.140625" style="5" bestFit="1" customWidth="1"/>
    <col min="5391" max="5633" width="9.140625" style="5"/>
    <col min="5634" max="5634" width="14.42578125" style="5" bestFit="1" customWidth="1"/>
    <col min="5635" max="5635" width="8.7109375" style="5" bestFit="1" customWidth="1"/>
    <col min="5636" max="5636" width="36.7109375" style="5" bestFit="1" customWidth="1"/>
    <col min="5637" max="5637" width="15" style="5" bestFit="1" customWidth="1"/>
    <col min="5638" max="5638" width="5.140625" style="5" bestFit="1" customWidth="1"/>
    <col min="5639" max="5639" width="15" style="5" bestFit="1" customWidth="1"/>
    <col min="5640" max="5640" width="5.140625" style="5" bestFit="1" customWidth="1"/>
    <col min="5641" max="5641" width="15" style="5" bestFit="1" customWidth="1"/>
    <col min="5642" max="5642" width="5.140625" style="5" bestFit="1" customWidth="1"/>
    <col min="5643" max="5643" width="15" style="5" bestFit="1" customWidth="1"/>
    <col min="5644" max="5644" width="2.140625" style="5" bestFit="1" customWidth="1"/>
    <col min="5645" max="5645" width="9.140625" style="5"/>
    <col min="5646" max="5646" width="11.140625" style="5" bestFit="1" customWidth="1"/>
    <col min="5647" max="5889" width="9.140625" style="5"/>
    <col min="5890" max="5890" width="14.42578125" style="5" bestFit="1" customWidth="1"/>
    <col min="5891" max="5891" width="8.7109375" style="5" bestFit="1" customWidth="1"/>
    <col min="5892" max="5892" width="36.7109375" style="5" bestFit="1" customWidth="1"/>
    <col min="5893" max="5893" width="15" style="5" bestFit="1" customWidth="1"/>
    <col min="5894" max="5894" width="5.140625" style="5" bestFit="1" customWidth="1"/>
    <col min="5895" max="5895" width="15" style="5" bestFit="1" customWidth="1"/>
    <col min="5896" max="5896" width="5.140625" style="5" bestFit="1" customWidth="1"/>
    <col min="5897" max="5897" width="15" style="5" bestFit="1" customWidth="1"/>
    <col min="5898" max="5898" width="5.140625" style="5" bestFit="1" customWidth="1"/>
    <col min="5899" max="5899" width="15" style="5" bestFit="1" customWidth="1"/>
    <col min="5900" max="5900" width="2.140625" style="5" bestFit="1" customWidth="1"/>
    <col min="5901" max="5901" width="9.140625" style="5"/>
    <col min="5902" max="5902" width="11.140625" style="5" bestFit="1" customWidth="1"/>
    <col min="5903" max="6145" width="9.140625" style="5"/>
    <col min="6146" max="6146" width="14.42578125" style="5" bestFit="1" customWidth="1"/>
    <col min="6147" max="6147" width="8.7109375" style="5" bestFit="1" customWidth="1"/>
    <col min="6148" max="6148" width="36.7109375" style="5" bestFit="1" customWidth="1"/>
    <col min="6149" max="6149" width="15" style="5" bestFit="1" customWidth="1"/>
    <col min="6150" max="6150" width="5.140625" style="5" bestFit="1" customWidth="1"/>
    <col min="6151" max="6151" width="15" style="5" bestFit="1" customWidth="1"/>
    <col min="6152" max="6152" width="5.140625" style="5" bestFit="1" customWidth="1"/>
    <col min="6153" max="6153" width="15" style="5" bestFit="1" customWidth="1"/>
    <col min="6154" max="6154" width="5.140625" style="5" bestFit="1" customWidth="1"/>
    <col min="6155" max="6155" width="15" style="5" bestFit="1" customWidth="1"/>
    <col min="6156" max="6156" width="2.140625" style="5" bestFit="1" customWidth="1"/>
    <col min="6157" max="6157" width="9.140625" style="5"/>
    <col min="6158" max="6158" width="11.140625" style="5" bestFit="1" customWidth="1"/>
    <col min="6159" max="6401" width="9.140625" style="5"/>
    <col min="6402" max="6402" width="14.42578125" style="5" bestFit="1" customWidth="1"/>
    <col min="6403" max="6403" width="8.7109375" style="5" bestFit="1" customWidth="1"/>
    <col min="6404" max="6404" width="36.7109375" style="5" bestFit="1" customWidth="1"/>
    <col min="6405" max="6405" width="15" style="5" bestFit="1" customWidth="1"/>
    <col min="6406" max="6406" width="5.140625" style="5" bestFit="1" customWidth="1"/>
    <col min="6407" max="6407" width="15" style="5" bestFit="1" customWidth="1"/>
    <col min="6408" max="6408" width="5.140625" style="5" bestFit="1" customWidth="1"/>
    <col min="6409" max="6409" width="15" style="5" bestFit="1" customWidth="1"/>
    <col min="6410" max="6410" width="5.140625" style="5" bestFit="1" customWidth="1"/>
    <col min="6411" max="6411" width="15" style="5" bestFit="1" customWidth="1"/>
    <col min="6412" max="6412" width="2.140625" style="5" bestFit="1" customWidth="1"/>
    <col min="6413" max="6413" width="9.140625" style="5"/>
    <col min="6414" max="6414" width="11.140625" style="5" bestFit="1" customWidth="1"/>
    <col min="6415" max="6657" width="9.140625" style="5"/>
    <col min="6658" max="6658" width="14.42578125" style="5" bestFit="1" customWidth="1"/>
    <col min="6659" max="6659" width="8.7109375" style="5" bestFit="1" customWidth="1"/>
    <col min="6660" max="6660" width="36.7109375" style="5" bestFit="1" customWidth="1"/>
    <col min="6661" max="6661" width="15" style="5" bestFit="1" customWidth="1"/>
    <col min="6662" max="6662" width="5.140625" style="5" bestFit="1" customWidth="1"/>
    <col min="6663" max="6663" width="15" style="5" bestFit="1" customWidth="1"/>
    <col min="6664" max="6664" width="5.140625" style="5" bestFit="1" customWidth="1"/>
    <col min="6665" max="6665" width="15" style="5" bestFit="1" customWidth="1"/>
    <col min="6666" max="6666" width="5.140625" style="5" bestFit="1" customWidth="1"/>
    <col min="6667" max="6667" width="15" style="5" bestFit="1" customWidth="1"/>
    <col min="6668" max="6668" width="2.140625" style="5" bestFit="1" customWidth="1"/>
    <col min="6669" max="6669" width="9.140625" style="5"/>
    <col min="6670" max="6670" width="11.140625" style="5" bestFit="1" customWidth="1"/>
    <col min="6671" max="6913" width="9.140625" style="5"/>
    <col min="6914" max="6914" width="14.42578125" style="5" bestFit="1" customWidth="1"/>
    <col min="6915" max="6915" width="8.7109375" style="5" bestFit="1" customWidth="1"/>
    <col min="6916" max="6916" width="36.7109375" style="5" bestFit="1" customWidth="1"/>
    <col min="6917" max="6917" width="15" style="5" bestFit="1" customWidth="1"/>
    <col min="6918" max="6918" width="5.140625" style="5" bestFit="1" customWidth="1"/>
    <col min="6919" max="6919" width="15" style="5" bestFit="1" customWidth="1"/>
    <col min="6920" max="6920" width="5.140625" style="5" bestFit="1" customWidth="1"/>
    <col min="6921" max="6921" width="15" style="5" bestFit="1" customWidth="1"/>
    <col min="6922" max="6922" width="5.140625" style="5" bestFit="1" customWidth="1"/>
    <col min="6923" max="6923" width="15" style="5" bestFit="1" customWidth="1"/>
    <col min="6924" max="6924" width="2.140625" style="5" bestFit="1" customWidth="1"/>
    <col min="6925" max="6925" width="9.140625" style="5"/>
    <col min="6926" max="6926" width="11.140625" style="5" bestFit="1" customWidth="1"/>
    <col min="6927" max="7169" width="9.140625" style="5"/>
    <col min="7170" max="7170" width="14.42578125" style="5" bestFit="1" customWidth="1"/>
    <col min="7171" max="7171" width="8.7109375" style="5" bestFit="1" customWidth="1"/>
    <col min="7172" max="7172" width="36.7109375" style="5" bestFit="1" customWidth="1"/>
    <col min="7173" max="7173" width="15" style="5" bestFit="1" customWidth="1"/>
    <col min="7174" max="7174" width="5.140625" style="5" bestFit="1" customWidth="1"/>
    <col min="7175" max="7175" width="15" style="5" bestFit="1" customWidth="1"/>
    <col min="7176" max="7176" width="5.140625" style="5" bestFit="1" customWidth="1"/>
    <col min="7177" max="7177" width="15" style="5" bestFit="1" customWidth="1"/>
    <col min="7178" max="7178" width="5.140625" style="5" bestFit="1" customWidth="1"/>
    <col min="7179" max="7179" width="15" style="5" bestFit="1" customWidth="1"/>
    <col min="7180" max="7180" width="2.140625" style="5" bestFit="1" customWidth="1"/>
    <col min="7181" max="7181" width="9.140625" style="5"/>
    <col min="7182" max="7182" width="11.140625" style="5" bestFit="1" customWidth="1"/>
    <col min="7183" max="7425" width="9.140625" style="5"/>
    <col min="7426" max="7426" width="14.42578125" style="5" bestFit="1" customWidth="1"/>
    <col min="7427" max="7427" width="8.7109375" style="5" bestFit="1" customWidth="1"/>
    <col min="7428" max="7428" width="36.7109375" style="5" bestFit="1" customWidth="1"/>
    <col min="7429" max="7429" width="15" style="5" bestFit="1" customWidth="1"/>
    <col min="7430" max="7430" width="5.140625" style="5" bestFit="1" customWidth="1"/>
    <col min="7431" max="7431" width="15" style="5" bestFit="1" customWidth="1"/>
    <col min="7432" max="7432" width="5.140625" style="5" bestFit="1" customWidth="1"/>
    <col min="7433" max="7433" width="15" style="5" bestFit="1" customWidth="1"/>
    <col min="7434" max="7434" width="5.140625" style="5" bestFit="1" customWidth="1"/>
    <col min="7435" max="7435" width="15" style="5" bestFit="1" customWidth="1"/>
    <col min="7436" max="7436" width="2.140625" style="5" bestFit="1" customWidth="1"/>
    <col min="7437" max="7437" width="9.140625" style="5"/>
    <col min="7438" max="7438" width="11.140625" style="5" bestFit="1" customWidth="1"/>
    <col min="7439" max="7681" width="9.140625" style="5"/>
    <col min="7682" max="7682" width="14.42578125" style="5" bestFit="1" customWidth="1"/>
    <col min="7683" max="7683" width="8.7109375" style="5" bestFit="1" customWidth="1"/>
    <col min="7684" max="7684" width="36.7109375" style="5" bestFit="1" customWidth="1"/>
    <col min="7685" max="7685" width="15" style="5" bestFit="1" customWidth="1"/>
    <col min="7686" max="7686" width="5.140625" style="5" bestFit="1" customWidth="1"/>
    <col min="7687" max="7687" width="15" style="5" bestFit="1" customWidth="1"/>
    <col min="7688" max="7688" width="5.140625" style="5" bestFit="1" customWidth="1"/>
    <col min="7689" max="7689" width="15" style="5" bestFit="1" customWidth="1"/>
    <col min="7690" max="7690" width="5.140625" style="5" bestFit="1" customWidth="1"/>
    <col min="7691" max="7691" width="15" style="5" bestFit="1" customWidth="1"/>
    <col min="7692" max="7692" width="2.140625" style="5" bestFit="1" customWidth="1"/>
    <col min="7693" max="7693" width="9.140625" style="5"/>
    <col min="7694" max="7694" width="11.140625" style="5" bestFit="1" customWidth="1"/>
    <col min="7695" max="7937" width="9.140625" style="5"/>
    <col min="7938" max="7938" width="14.42578125" style="5" bestFit="1" customWidth="1"/>
    <col min="7939" max="7939" width="8.7109375" style="5" bestFit="1" customWidth="1"/>
    <col min="7940" max="7940" width="36.7109375" style="5" bestFit="1" customWidth="1"/>
    <col min="7941" max="7941" width="15" style="5" bestFit="1" customWidth="1"/>
    <col min="7942" max="7942" width="5.140625" style="5" bestFit="1" customWidth="1"/>
    <col min="7943" max="7943" width="15" style="5" bestFit="1" customWidth="1"/>
    <col min="7944" max="7944" width="5.140625" style="5" bestFit="1" customWidth="1"/>
    <col min="7945" max="7945" width="15" style="5" bestFit="1" customWidth="1"/>
    <col min="7946" max="7946" width="5.140625" style="5" bestFit="1" customWidth="1"/>
    <col min="7947" max="7947" width="15" style="5" bestFit="1" customWidth="1"/>
    <col min="7948" max="7948" width="2.140625" style="5" bestFit="1" customWidth="1"/>
    <col min="7949" max="7949" width="9.140625" style="5"/>
    <col min="7950" max="7950" width="11.140625" style="5" bestFit="1" customWidth="1"/>
    <col min="7951" max="8193" width="9.140625" style="5"/>
    <col min="8194" max="8194" width="14.42578125" style="5" bestFit="1" customWidth="1"/>
    <col min="8195" max="8195" width="8.7109375" style="5" bestFit="1" customWidth="1"/>
    <col min="8196" max="8196" width="36.7109375" style="5" bestFit="1" customWidth="1"/>
    <col min="8197" max="8197" width="15" style="5" bestFit="1" customWidth="1"/>
    <col min="8198" max="8198" width="5.140625" style="5" bestFit="1" customWidth="1"/>
    <col min="8199" max="8199" width="15" style="5" bestFit="1" customWidth="1"/>
    <col min="8200" max="8200" width="5.140625" style="5" bestFit="1" customWidth="1"/>
    <col min="8201" max="8201" width="15" style="5" bestFit="1" customWidth="1"/>
    <col min="8202" max="8202" width="5.140625" style="5" bestFit="1" customWidth="1"/>
    <col min="8203" max="8203" width="15" style="5" bestFit="1" customWidth="1"/>
    <col min="8204" max="8204" width="2.140625" style="5" bestFit="1" customWidth="1"/>
    <col min="8205" max="8205" width="9.140625" style="5"/>
    <col min="8206" max="8206" width="11.140625" style="5" bestFit="1" customWidth="1"/>
    <col min="8207" max="8449" width="9.140625" style="5"/>
    <col min="8450" max="8450" width="14.42578125" style="5" bestFit="1" customWidth="1"/>
    <col min="8451" max="8451" width="8.7109375" style="5" bestFit="1" customWidth="1"/>
    <col min="8452" max="8452" width="36.7109375" style="5" bestFit="1" customWidth="1"/>
    <col min="8453" max="8453" width="15" style="5" bestFit="1" customWidth="1"/>
    <col min="8454" max="8454" width="5.140625" style="5" bestFit="1" customWidth="1"/>
    <col min="8455" max="8455" width="15" style="5" bestFit="1" customWidth="1"/>
    <col min="8456" max="8456" width="5.140625" style="5" bestFit="1" customWidth="1"/>
    <col min="8457" max="8457" width="15" style="5" bestFit="1" customWidth="1"/>
    <col min="8458" max="8458" width="5.140625" style="5" bestFit="1" customWidth="1"/>
    <col min="8459" max="8459" width="15" style="5" bestFit="1" customWidth="1"/>
    <col min="8460" max="8460" width="2.140625" style="5" bestFit="1" customWidth="1"/>
    <col min="8461" max="8461" width="9.140625" style="5"/>
    <col min="8462" max="8462" width="11.140625" style="5" bestFit="1" customWidth="1"/>
    <col min="8463" max="8705" width="9.140625" style="5"/>
    <col min="8706" max="8706" width="14.42578125" style="5" bestFit="1" customWidth="1"/>
    <col min="8707" max="8707" width="8.7109375" style="5" bestFit="1" customWidth="1"/>
    <col min="8708" max="8708" width="36.7109375" style="5" bestFit="1" customWidth="1"/>
    <col min="8709" max="8709" width="15" style="5" bestFit="1" customWidth="1"/>
    <col min="8710" max="8710" width="5.140625" style="5" bestFit="1" customWidth="1"/>
    <col min="8711" max="8711" width="15" style="5" bestFit="1" customWidth="1"/>
    <col min="8712" max="8712" width="5.140625" style="5" bestFit="1" customWidth="1"/>
    <col min="8713" max="8713" width="15" style="5" bestFit="1" customWidth="1"/>
    <col min="8714" max="8714" width="5.140625" style="5" bestFit="1" customWidth="1"/>
    <col min="8715" max="8715" width="15" style="5" bestFit="1" customWidth="1"/>
    <col min="8716" max="8716" width="2.140625" style="5" bestFit="1" customWidth="1"/>
    <col min="8717" max="8717" width="9.140625" style="5"/>
    <col min="8718" max="8718" width="11.140625" style="5" bestFit="1" customWidth="1"/>
    <col min="8719" max="8961" width="9.140625" style="5"/>
    <col min="8962" max="8962" width="14.42578125" style="5" bestFit="1" customWidth="1"/>
    <col min="8963" max="8963" width="8.7109375" style="5" bestFit="1" customWidth="1"/>
    <col min="8964" max="8964" width="36.7109375" style="5" bestFit="1" customWidth="1"/>
    <col min="8965" max="8965" width="15" style="5" bestFit="1" customWidth="1"/>
    <col min="8966" max="8966" width="5.140625" style="5" bestFit="1" customWidth="1"/>
    <col min="8967" max="8967" width="15" style="5" bestFit="1" customWidth="1"/>
    <col min="8968" max="8968" width="5.140625" style="5" bestFit="1" customWidth="1"/>
    <col min="8969" max="8969" width="15" style="5" bestFit="1" customWidth="1"/>
    <col min="8970" max="8970" width="5.140625" style="5" bestFit="1" customWidth="1"/>
    <col min="8971" max="8971" width="15" style="5" bestFit="1" customWidth="1"/>
    <col min="8972" max="8972" width="2.140625" style="5" bestFit="1" customWidth="1"/>
    <col min="8973" max="8973" width="9.140625" style="5"/>
    <col min="8974" max="8974" width="11.140625" style="5" bestFit="1" customWidth="1"/>
    <col min="8975" max="9217" width="9.140625" style="5"/>
    <col min="9218" max="9218" width="14.42578125" style="5" bestFit="1" customWidth="1"/>
    <col min="9219" max="9219" width="8.7109375" style="5" bestFit="1" customWidth="1"/>
    <col min="9220" max="9220" width="36.7109375" style="5" bestFit="1" customWidth="1"/>
    <col min="9221" max="9221" width="15" style="5" bestFit="1" customWidth="1"/>
    <col min="9222" max="9222" width="5.140625" style="5" bestFit="1" customWidth="1"/>
    <col min="9223" max="9223" width="15" style="5" bestFit="1" customWidth="1"/>
    <col min="9224" max="9224" width="5.140625" style="5" bestFit="1" customWidth="1"/>
    <col min="9225" max="9225" width="15" style="5" bestFit="1" customWidth="1"/>
    <col min="9226" max="9226" width="5.140625" style="5" bestFit="1" customWidth="1"/>
    <col min="9227" max="9227" width="15" style="5" bestFit="1" customWidth="1"/>
    <col min="9228" max="9228" width="2.140625" style="5" bestFit="1" customWidth="1"/>
    <col min="9229" max="9229" width="9.140625" style="5"/>
    <col min="9230" max="9230" width="11.140625" style="5" bestFit="1" customWidth="1"/>
    <col min="9231" max="9473" width="9.140625" style="5"/>
    <col min="9474" max="9474" width="14.42578125" style="5" bestFit="1" customWidth="1"/>
    <col min="9475" max="9475" width="8.7109375" style="5" bestFit="1" customWidth="1"/>
    <col min="9476" max="9476" width="36.7109375" style="5" bestFit="1" customWidth="1"/>
    <col min="9477" max="9477" width="15" style="5" bestFit="1" customWidth="1"/>
    <col min="9478" max="9478" width="5.140625" style="5" bestFit="1" customWidth="1"/>
    <col min="9479" max="9479" width="15" style="5" bestFit="1" customWidth="1"/>
    <col min="9480" max="9480" width="5.140625" style="5" bestFit="1" customWidth="1"/>
    <col min="9481" max="9481" width="15" style="5" bestFit="1" customWidth="1"/>
    <col min="9482" max="9482" width="5.140625" style="5" bestFit="1" customWidth="1"/>
    <col min="9483" max="9483" width="15" style="5" bestFit="1" customWidth="1"/>
    <col min="9484" max="9484" width="2.140625" style="5" bestFit="1" customWidth="1"/>
    <col min="9485" max="9485" width="9.140625" style="5"/>
    <col min="9486" max="9486" width="11.140625" style="5" bestFit="1" customWidth="1"/>
    <col min="9487" max="9729" width="9.140625" style="5"/>
    <col min="9730" max="9730" width="14.42578125" style="5" bestFit="1" customWidth="1"/>
    <col min="9731" max="9731" width="8.7109375" style="5" bestFit="1" customWidth="1"/>
    <col min="9732" max="9732" width="36.7109375" style="5" bestFit="1" customWidth="1"/>
    <col min="9733" max="9733" width="15" style="5" bestFit="1" customWidth="1"/>
    <col min="9734" max="9734" width="5.140625" style="5" bestFit="1" customWidth="1"/>
    <col min="9735" max="9735" width="15" style="5" bestFit="1" customWidth="1"/>
    <col min="9736" max="9736" width="5.140625" style="5" bestFit="1" customWidth="1"/>
    <col min="9737" max="9737" width="15" style="5" bestFit="1" customWidth="1"/>
    <col min="9738" max="9738" width="5.140625" style="5" bestFit="1" customWidth="1"/>
    <col min="9739" max="9739" width="15" style="5" bestFit="1" customWidth="1"/>
    <col min="9740" max="9740" width="2.140625" style="5" bestFit="1" customWidth="1"/>
    <col min="9741" max="9741" width="9.140625" style="5"/>
    <col min="9742" max="9742" width="11.140625" style="5" bestFit="1" customWidth="1"/>
    <col min="9743" max="9985" width="9.140625" style="5"/>
    <col min="9986" max="9986" width="14.42578125" style="5" bestFit="1" customWidth="1"/>
    <col min="9987" max="9987" width="8.7109375" style="5" bestFit="1" customWidth="1"/>
    <col min="9988" max="9988" width="36.7109375" style="5" bestFit="1" customWidth="1"/>
    <col min="9989" max="9989" width="15" style="5" bestFit="1" customWidth="1"/>
    <col min="9990" max="9990" width="5.140625" style="5" bestFit="1" customWidth="1"/>
    <col min="9991" max="9991" width="15" style="5" bestFit="1" customWidth="1"/>
    <col min="9992" max="9992" width="5.140625" style="5" bestFit="1" customWidth="1"/>
    <col min="9993" max="9993" width="15" style="5" bestFit="1" customWidth="1"/>
    <col min="9994" max="9994" width="5.140625" style="5" bestFit="1" customWidth="1"/>
    <col min="9995" max="9995" width="15" style="5" bestFit="1" customWidth="1"/>
    <col min="9996" max="9996" width="2.140625" style="5" bestFit="1" customWidth="1"/>
    <col min="9997" max="9997" width="9.140625" style="5"/>
    <col min="9998" max="9998" width="11.140625" style="5" bestFit="1" customWidth="1"/>
    <col min="9999" max="10241" width="9.140625" style="5"/>
    <col min="10242" max="10242" width="14.42578125" style="5" bestFit="1" customWidth="1"/>
    <col min="10243" max="10243" width="8.7109375" style="5" bestFit="1" customWidth="1"/>
    <col min="10244" max="10244" width="36.7109375" style="5" bestFit="1" customWidth="1"/>
    <col min="10245" max="10245" width="15" style="5" bestFit="1" customWidth="1"/>
    <col min="10246" max="10246" width="5.140625" style="5" bestFit="1" customWidth="1"/>
    <col min="10247" max="10247" width="15" style="5" bestFit="1" customWidth="1"/>
    <col min="10248" max="10248" width="5.140625" style="5" bestFit="1" customWidth="1"/>
    <col min="10249" max="10249" width="15" style="5" bestFit="1" customWidth="1"/>
    <col min="10250" max="10250" width="5.140625" style="5" bestFit="1" customWidth="1"/>
    <col min="10251" max="10251" width="15" style="5" bestFit="1" customWidth="1"/>
    <col min="10252" max="10252" width="2.140625" style="5" bestFit="1" customWidth="1"/>
    <col min="10253" max="10253" width="9.140625" style="5"/>
    <col min="10254" max="10254" width="11.140625" style="5" bestFit="1" customWidth="1"/>
    <col min="10255" max="10497" width="9.140625" style="5"/>
    <col min="10498" max="10498" width="14.42578125" style="5" bestFit="1" customWidth="1"/>
    <col min="10499" max="10499" width="8.7109375" style="5" bestFit="1" customWidth="1"/>
    <col min="10500" max="10500" width="36.7109375" style="5" bestFit="1" customWidth="1"/>
    <col min="10501" max="10501" width="15" style="5" bestFit="1" customWidth="1"/>
    <col min="10502" max="10502" width="5.140625" style="5" bestFit="1" customWidth="1"/>
    <col min="10503" max="10503" width="15" style="5" bestFit="1" customWidth="1"/>
    <col min="10504" max="10504" width="5.140625" style="5" bestFit="1" customWidth="1"/>
    <col min="10505" max="10505" width="15" style="5" bestFit="1" customWidth="1"/>
    <col min="10506" max="10506" width="5.140625" style="5" bestFit="1" customWidth="1"/>
    <col min="10507" max="10507" width="15" style="5" bestFit="1" customWidth="1"/>
    <col min="10508" max="10508" width="2.140625" style="5" bestFit="1" customWidth="1"/>
    <col min="10509" max="10509" width="9.140625" style="5"/>
    <col min="10510" max="10510" width="11.140625" style="5" bestFit="1" customWidth="1"/>
    <col min="10511" max="10753" width="9.140625" style="5"/>
    <col min="10754" max="10754" width="14.42578125" style="5" bestFit="1" customWidth="1"/>
    <col min="10755" max="10755" width="8.7109375" style="5" bestFit="1" customWidth="1"/>
    <col min="10756" max="10756" width="36.7109375" style="5" bestFit="1" customWidth="1"/>
    <col min="10757" max="10757" width="15" style="5" bestFit="1" customWidth="1"/>
    <col min="10758" max="10758" width="5.140625" style="5" bestFit="1" customWidth="1"/>
    <col min="10759" max="10759" width="15" style="5" bestFit="1" customWidth="1"/>
    <col min="10760" max="10760" width="5.140625" style="5" bestFit="1" customWidth="1"/>
    <col min="10761" max="10761" width="15" style="5" bestFit="1" customWidth="1"/>
    <col min="10762" max="10762" width="5.140625" style="5" bestFit="1" customWidth="1"/>
    <col min="10763" max="10763" width="15" style="5" bestFit="1" customWidth="1"/>
    <col min="10764" max="10764" width="2.140625" style="5" bestFit="1" customWidth="1"/>
    <col min="10765" max="10765" width="9.140625" style="5"/>
    <col min="10766" max="10766" width="11.140625" style="5" bestFit="1" customWidth="1"/>
    <col min="10767" max="11009" width="9.140625" style="5"/>
    <col min="11010" max="11010" width="14.42578125" style="5" bestFit="1" customWidth="1"/>
    <col min="11011" max="11011" width="8.7109375" style="5" bestFit="1" customWidth="1"/>
    <col min="11012" max="11012" width="36.7109375" style="5" bestFit="1" customWidth="1"/>
    <col min="11013" max="11013" width="15" style="5" bestFit="1" customWidth="1"/>
    <col min="11014" max="11014" width="5.140625" style="5" bestFit="1" customWidth="1"/>
    <col min="11015" max="11015" width="15" style="5" bestFit="1" customWidth="1"/>
    <col min="11016" max="11016" width="5.140625" style="5" bestFit="1" customWidth="1"/>
    <col min="11017" max="11017" width="15" style="5" bestFit="1" customWidth="1"/>
    <col min="11018" max="11018" width="5.140625" style="5" bestFit="1" customWidth="1"/>
    <col min="11019" max="11019" width="15" style="5" bestFit="1" customWidth="1"/>
    <col min="11020" max="11020" width="2.140625" style="5" bestFit="1" customWidth="1"/>
    <col min="11021" max="11021" width="9.140625" style="5"/>
    <col min="11022" max="11022" width="11.140625" style="5" bestFit="1" customWidth="1"/>
    <col min="11023" max="11265" width="9.140625" style="5"/>
    <col min="11266" max="11266" width="14.42578125" style="5" bestFit="1" customWidth="1"/>
    <col min="11267" max="11267" width="8.7109375" style="5" bestFit="1" customWidth="1"/>
    <col min="11268" max="11268" width="36.7109375" style="5" bestFit="1" customWidth="1"/>
    <col min="11269" max="11269" width="15" style="5" bestFit="1" customWidth="1"/>
    <col min="11270" max="11270" width="5.140625" style="5" bestFit="1" customWidth="1"/>
    <col min="11271" max="11271" width="15" style="5" bestFit="1" customWidth="1"/>
    <col min="11272" max="11272" width="5.140625" style="5" bestFit="1" customWidth="1"/>
    <col min="11273" max="11273" width="15" style="5" bestFit="1" customWidth="1"/>
    <col min="11274" max="11274" width="5.140625" style="5" bestFit="1" customWidth="1"/>
    <col min="11275" max="11275" width="15" style="5" bestFit="1" customWidth="1"/>
    <col min="11276" max="11276" width="2.140625" style="5" bestFit="1" customWidth="1"/>
    <col min="11277" max="11277" width="9.140625" style="5"/>
    <col min="11278" max="11278" width="11.140625" style="5" bestFit="1" customWidth="1"/>
    <col min="11279" max="11521" width="9.140625" style="5"/>
    <col min="11522" max="11522" width="14.42578125" style="5" bestFit="1" customWidth="1"/>
    <col min="11523" max="11523" width="8.7109375" style="5" bestFit="1" customWidth="1"/>
    <col min="11524" max="11524" width="36.7109375" style="5" bestFit="1" customWidth="1"/>
    <col min="11525" max="11525" width="15" style="5" bestFit="1" customWidth="1"/>
    <col min="11526" max="11526" width="5.140625" style="5" bestFit="1" customWidth="1"/>
    <col min="11527" max="11527" width="15" style="5" bestFit="1" customWidth="1"/>
    <col min="11528" max="11528" width="5.140625" style="5" bestFit="1" customWidth="1"/>
    <col min="11529" max="11529" width="15" style="5" bestFit="1" customWidth="1"/>
    <col min="11530" max="11530" width="5.140625" style="5" bestFit="1" customWidth="1"/>
    <col min="11531" max="11531" width="15" style="5" bestFit="1" customWidth="1"/>
    <col min="11532" max="11532" width="2.140625" style="5" bestFit="1" customWidth="1"/>
    <col min="11533" max="11533" width="9.140625" style="5"/>
    <col min="11534" max="11534" width="11.140625" style="5" bestFit="1" customWidth="1"/>
    <col min="11535" max="11777" width="9.140625" style="5"/>
    <col min="11778" max="11778" width="14.42578125" style="5" bestFit="1" customWidth="1"/>
    <col min="11779" max="11779" width="8.7109375" style="5" bestFit="1" customWidth="1"/>
    <col min="11780" max="11780" width="36.7109375" style="5" bestFit="1" customWidth="1"/>
    <col min="11781" max="11781" width="15" style="5" bestFit="1" customWidth="1"/>
    <col min="11782" max="11782" width="5.140625" style="5" bestFit="1" customWidth="1"/>
    <col min="11783" max="11783" width="15" style="5" bestFit="1" customWidth="1"/>
    <col min="11784" max="11784" width="5.140625" style="5" bestFit="1" customWidth="1"/>
    <col min="11785" max="11785" width="15" style="5" bestFit="1" customWidth="1"/>
    <col min="11786" max="11786" width="5.140625" style="5" bestFit="1" customWidth="1"/>
    <col min="11787" max="11787" width="15" style="5" bestFit="1" customWidth="1"/>
    <col min="11788" max="11788" width="2.140625" style="5" bestFit="1" customWidth="1"/>
    <col min="11789" max="11789" width="9.140625" style="5"/>
    <col min="11790" max="11790" width="11.140625" style="5" bestFit="1" customWidth="1"/>
    <col min="11791" max="12033" width="9.140625" style="5"/>
    <col min="12034" max="12034" width="14.42578125" style="5" bestFit="1" customWidth="1"/>
    <col min="12035" max="12035" width="8.7109375" style="5" bestFit="1" customWidth="1"/>
    <col min="12036" max="12036" width="36.7109375" style="5" bestFit="1" customWidth="1"/>
    <col min="12037" max="12037" width="15" style="5" bestFit="1" customWidth="1"/>
    <col min="12038" max="12038" width="5.140625" style="5" bestFit="1" customWidth="1"/>
    <col min="12039" max="12039" width="15" style="5" bestFit="1" customWidth="1"/>
    <col min="12040" max="12040" width="5.140625" style="5" bestFit="1" customWidth="1"/>
    <col min="12041" max="12041" width="15" style="5" bestFit="1" customWidth="1"/>
    <col min="12042" max="12042" width="5.140625" style="5" bestFit="1" customWidth="1"/>
    <col min="12043" max="12043" width="15" style="5" bestFit="1" customWidth="1"/>
    <col min="12044" max="12044" width="2.140625" style="5" bestFit="1" customWidth="1"/>
    <col min="12045" max="12045" width="9.140625" style="5"/>
    <col min="12046" max="12046" width="11.140625" style="5" bestFit="1" customWidth="1"/>
    <col min="12047" max="12289" width="9.140625" style="5"/>
    <col min="12290" max="12290" width="14.42578125" style="5" bestFit="1" customWidth="1"/>
    <col min="12291" max="12291" width="8.7109375" style="5" bestFit="1" customWidth="1"/>
    <col min="12292" max="12292" width="36.7109375" style="5" bestFit="1" customWidth="1"/>
    <col min="12293" max="12293" width="15" style="5" bestFit="1" customWidth="1"/>
    <col min="12294" max="12294" width="5.140625" style="5" bestFit="1" customWidth="1"/>
    <col min="12295" max="12295" width="15" style="5" bestFit="1" customWidth="1"/>
    <col min="12296" max="12296" width="5.140625" style="5" bestFit="1" customWidth="1"/>
    <col min="12297" max="12297" width="15" style="5" bestFit="1" customWidth="1"/>
    <col min="12298" max="12298" width="5.140625" style="5" bestFit="1" customWidth="1"/>
    <col min="12299" max="12299" width="15" style="5" bestFit="1" customWidth="1"/>
    <col min="12300" max="12300" width="2.140625" style="5" bestFit="1" customWidth="1"/>
    <col min="12301" max="12301" width="9.140625" style="5"/>
    <col min="12302" max="12302" width="11.140625" style="5" bestFit="1" customWidth="1"/>
    <col min="12303" max="12545" width="9.140625" style="5"/>
    <col min="12546" max="12546" width="14.42578125" style="5" bestFit="1" customWidth="1"/>
    <col min="12547" max="12547" width="8.7109375" style="5" bestFit="1" customWidth="1"/>
    <col min="12548" max="12548" width="36.7109375" style="5" bestFit="1" customWidth="1"/>
    <col min="12549" max="12549" width="15" style="5" bestFit="1" customWidth="1"/>
    <col min="12550" max="12550" width="5.140625" style="5" bestFit="1" customWidth="1"/>
    <col min="12551" max="12551" width="15" style="5" bestFit="1" customWidth="1"/>
    <col min="12552" max="12552" width="5.140625" style="5" bestFit="1" customWidth="1"/>
    <col min="12553" max="12553" width="15" style="5" bestFit="1" customWidth="1"/>
    <col min="12554" max="12554" width="5.140625" style="5" bestFit="1" customWidth="1"/>
    <col min="12555" max="12555" width="15" style="5" bestFit="1" customWidth="1"/>
    <col min="12556" max="12556" width="2.140625" style="5" bestFit="1" customWidth="1"/>
    <col min="12557" max="12557" width="9.140625" style="5"/>
    <col min="12558" max="12558" width="11.140625" style="5" bestFit="1" customWidth="1"/>
    <col min="12559" max="12801" width="9.140625" style="5"/>
    <col min="12802" max="12802" width="14.42578125" style="5" bestFit="1" customWidth="1"/>
    <col min="12803" max="12803" width="8.7109375" style="5" bestFit="1" customWidth="1"/>
    <col min="12804" max="12804" width="36.7109375" style="5" bestFit="1" customWidth="1"/>
    <col min="12805" max="12805" width="15" style="5" bestFit="1" customWidth="1"/>
    <col min="12806" max="12806" width="5.140625" style="5" bestFit="1" customWidth="1"/>
    <col min="12807" max="12807" width="15" style="5" bestFit="1" customWidth="1"/>
    <col min="12808" max="12808" width="5.140625" style="5" bestFit="1" customWidth="1"/>
    <col min="12809" max="12809" width="15" style="5" bestFit="1" customWidth="1"/>
    <col min="12810" max="12810" width="5.140625" style="5" bestFit="1" customWidth="1"/>
    <col min="12811" max="12811" width="15" style="5" bestFit="1" customWidth="1"/>
    <col min="12812" max="12812" width="2.140625" style="5" bestFit="1" customWidth="1"/>
    <col min="12813" max="12813" width="9.140625" style="5"/>
    <col min="12814" max="12814" width="11.140625" style="5" bestFit="1" customWidth="1"/>
    <col min="12815" max="13057" width="9.140625" style="5"/>
    <col min="13058" max="13058" width="14.42578125" style="5" bestFit="1" customWidth="1"/>
    <col min="13059" max="13059" width="8.7109375" style="5" bestFit="1" customWidth="1"/>
    <col min="13060" max="13060" width="36.7109375" style="5" bestFit="1" customWidth="1"/>
    <col min="13061" max="13061" width="15" style="5" bestFit="1" customWidth="1"/>
    <col min="13062" max="13062" width="5.140625" style="5" bestFit="1" customWidth="1"/>
    <col min="13063" max="13063" width="15" style="5" bestFit="1" customWidth="1"/>
    <col min="13064" max="13064" width="5.140625" style="5" bestFit="1" customWidth="1"/>
    <col min="13065" max="13065" width="15" style="5" bestFit="1" customWidth="1"/>
    <col min="13066" max="13066" width="5.140625" style="5" bestFit="1" customWidth="1"/>
    <col min="13067" max="13067" width="15" style="5" bestFit="1" customWidth="1"/>
    <col min="13068" max="13068" width="2.140625" style="5" bestFit="1" customWidth="1"/>
    <col min="13069" max="13069" width="9.140625" style="5"/>
    <col min="13070" max="13070" width="11.140625" style="5" bestFit="1" customWidth="1"/>
    <col min="13071" max="13313" width="9.140625" style="5"/>
    <col min="13314" max="13314" width="14.42578125" style="5" bestFit="1" customWidth="1"/>
    <col min="13315" max="13315" width="8.7109375" style="5" bestFit="1" customWidth="1"/>
    <col min="13316" max="13316" width="36.7109375" style="5" bestFit="1" customWidth="1"/>
    <col min="13317" max="13317" width="15" style="5" bestFit="1" customWidth="1"/>
    <col min="13318" max="13318" width="5.140625" style="5" bestFit="1" customWidth="1"/>
    <col min="13319" max="13319" width="15" style="5" bestFit="1" customWidth="1"/>
    <col min="13320" max="13320" width="5.140625" style="5" bestFit="1" customWidth="1"/>
    <col min="13321" max="13321" width="15" style="5" bestFit="1" customWidth="1"/>
    <col min="13322" max="13322" width="5.140625" style="5" bestFit="1" customWidth="1"/>
    <col min="13323" max="13323" width="15" style="5" bestFit="1" customWidth="1"/>
    <col min="13324" max="13324" width="2.140625" style="5" bestFit="1" customWidth="1"/>
    <col min="13325" max="13325" width="9.140625" style="5"/>
    <col min="13326" max="13326" width="11.140625" style="5" bestFit="1" customWidth="1"/>
    <col min="13327" max="13569" width="9.140625" style="5"/>
    <col min="13570" max="13570" width="14.42578125" style="5" bestFit="1" customWidth="1"/>
    <col min="13571" max="13571" width="8.7109375" style="5" bestFit="1" customWidth="1"/>
    <col min="13572" max="13572" width="36.7109375" style="5" bestFit="1" customWidth="1"/>
    <col min="13573" max="13573" width="15" style="5" bestFit="1" customWidth="1"/>
    <col min="13574" max="13574" width="5.140625" style="5" bestFit="1" customWidth="1"/>
    <col min="13575" max="13575" width="15" style="5" bestFit="1" customWidth="1"/>
    <col min="13576" max="13576" width="5.140625" style="5" bestFit="1" customWidth="1"/>
    <col min="13577" max="13577" width="15" style="5" bestFit="1" customWidth="1"/>
    <col min="13578" max="13578" width="5.140625" style="5" bestFit="1" customWidth="1"/>
    <col min="13579" max="13579" width="15" style="5" bestFit="1" customWidth="1"/>
    <col min="13580" max="13580" width="2.140625" style="5" bestFit="1" customWidth="1"/>
    <col min="13581" max="13581" width="9.140625" style="5"/>
    <col min="13582" max="13582" width="11.140625" style="5" bestFit="1" customWidth="1"/>
    <col min="13583" max="13825" width="9.140625" style="5"/>
    <col min="13826" max="13826" width="14.42578125" style="5" bestFit="1" customWidth="1"/>
    <col min="13827" max="13827" width="8.7109375" style="5" bestFit="1" customWidth="1"/>
    <col min="13828" max="13828" width="36.7109375" style="5" bestFit="1" customWidth="1"/>
    <col min="13829" max="13829" width="15" style="5" bestFit="1" customWidth="1"/>
    <col min="13830" max="13830" width="5.140625" style="5" bestFit="1" customWidth="1"/>
    <col min="13831" max="13831" width="15" style="5" bestFit="1" customWidth="1"/>
    <col min="13832" max="13832" width="5.140625" style="5" bestFit="1" customWidth="1"/>
    <col min="13833" max="13833" width="15" style="5" bestFit="1" customWidth="1"/>
    <col min="13834" max="13834" width="5.140625" style="5" bestFit="1" customWidth="1"/>
    <col min="13835" max="13835" width="15" style="5" bestFit="1" customWidth="1"/>
    <col min="13836" max="13836" width="2.140625" style="5" bestFit="1" customWidth="1"/>
    <col min="13837" max="13837" width="9.140625" style="5"/>
    <col min="13838" max="13838" width="11.140625" style="5" bestFit="1" customWidth="1"/>
    <col min="13839" max="14081" width="9.140625" style="5"/>
    <col min="14082" max="14082" width="14.42578125" style="5" bestFit="1" customWidth="1"/>
    <col min="14083" max="14083" width="8.7109375" style="5" bestFit="1" customWidth="1"/>
    <col min="14084" max="14084" width="36.7109375" style="5" bestFit="1" customWidth="1"/>
    <col min="14085" max="14085" width="15" style="5" bestFit="1" customWidth="1"/>
    <col min="14086" max="14086" width="5.140625" style="5" bestFit="1" customWidth="1"/>
    <col min="14087" max="14087" width="15" style="5" bestFit="1" customWidth="1"/>
    <col min="14088" max="14088" width="5.140625" style="5" bestFit="1" customWidth="1"/>
    <col min="14089" max="14089" width="15" style="5" bestFit="1" customWidth="1"/>
    <col min="14090" max="14090" width="5.140625" style="5" bestFit="1" customWidth="1"/>
    <col min="14091" max="14091" width="15" style="5" bestFit="1" customWidth="1"/>
    <col min="14092" max="14092" width="2.140625" style="5" bestFit="1" customWidth="1"/>
    <col min="14093" max="14093" width="9.140625" style="5"/>
    <col min="14094" max="14094" width="11.140625" style="5" bestFit="1" customWidth="1"/>
    <col min="14095" max="14337" width="9.140625" style="5"/>
    <col min="14338" max="14338" width="14.42578125" style="5" bestFit="1" customWidth="1"/>
    <col min="14339" max="14339" width="8.7109375" style="5" bestFit="1" customWidth="1"/>
    <col min="14340" max="14340" width="36.7109375" style="5" bestFit="1" customWidth="1"/>
    <col min="14341" max="14341" width="15" style="5" bestFit="1" customWidth="1"/>
    <col min="14342" max="14342" width="5.140625" style="5" bestFit="1" customWidth="1"/>
    <col min="14343" max="14343" width="15" style="5" bestFit="1" customWidth="1"/>
    <col min="14344" max="14344" width="5.140625" style="5" bestFit="1" customWidth="1"/>
    <col min="14345" max="14345" width="15" style="5" bestFit="1" customWidth="1"/>
    <col min="14346" max="14346" width="5.140625" style="5" bestFit="1" customWidth="1"/>
    <col min="14347" max="14347" width="15" style="5" bestFit="1" customWidth="1"/>
    <col min="14348" max="14348" width="2.140625" style="5" bestFit="1" customWidth="1"/>
    <col min="14349" max="14349" width="9.140625" style="5"/>
    <col min="14350" max="14350" width="11.140625" style="5" bestFit="1" customWidth="1"/>
    <col min="14351" max="14593" width="9.140625" style="5"/>
    <col min="14594" max="14594" width="14.42578125" style="5" bestFit="1" customWidth="1"/>
    <col min="14595" max="14595" width="8.7109375" style="5" bestFit="1" customWidth="1"/>
    <col min="14596" max="14596" width="36.7109375" style="5" bestFit="1" customWidth="1"/>
    <col min="14597" max="14597" width="15" style="5" bestFit="1" customWidth="1"/>
    <col min="14598" max="14598" width="5.140625" style="5" bestFit="1" customWidth="1"/>
    <col min="14599" max="14599" width="15" style="5" bestFit="1" customWidth="1"/>
    <col min="14600" max="14600" width="5.140625" style="5" bestFit="1" customWidth="1"/>
    <col min="14601" max="14601" width="15" style="5" bestFit="1" customWidth="1"/>
    <col min="14602" max="14602" width="5.140625" style="5" bestFit="1" customWidth="1"/>
    <col min="14603" max="14603" width="15" style="5" bestFit="1" customWidth="1"/>
    <col min="14604" max="14604" width="2.140625" style="5" bestFit="1" customWidth="1"/>
    <col min="14605" max="14605" width="9.140625" style="5"/>
    <col min="14606" max="14606" width="11.140625" style="5" bestFit="1" customWidth="1"/>
    <col min="14607" max="14849" width="9.140625" style="5"/>
    <col min="14850" max="14850" width="14.42578125" style="5" bestFit="1" customWidth="1"/>
    <col min="14851" max="14851" width="8.7109375" style="5" bestFit="1" customWidth="1"/>
    <col min="14852" max="14852" width="36.7109375" style="5" bestFit="1" customWidth="1"/>
    <col min="14853" max="14853" width="15" style="5" bestFit="1" customWidth="1"/>
    <col min="14854" max="14854" width="5.140625" style="5" bestFit="1" customWidth="1"/>
    <col min="14855" max="14855" width="15" style="5" bestFit="1" customWidth="1"/>
    <col min="14856" max="14856" width="5.140625" style="5" bestFit="1" customWidth="1"/>
    <col min="14857" max="14857" width="15" style="5" bestFit="1" customWidth="1"/>
    <col min="14858" max="14858" width="5.140625" style="5" bestFit="1" customWidth="1"/>
    <col min="14859" max="14859" width="15" style="5" bestFit="1" customWidth="1"/>
    <col min="14860" max="14860" width="2.140625" style="5" bestFit="1" customWidth="1"/>
    <col min="14861" max="14861" width="9.140625" style="5"/>
    <col min="14862" max="14862" width="11.140625" style="5" bestFit="1" customWidth="1"/>
    <col min="14863" max="15105" width="9.140625" style="5"/>
    <col min="15106" max="15106" width="14.42578125" style="5" bestFit="1" customWidth="1"/>
    <col min="15107" max="15107" width="8.7109375" style="5" bestFit="1" customWidth="1"/>
    <col min="15108" max="15108" width="36.7109375" style="5" bestFit="1" customWidth="1"/>
    <col min="15109" max="15109" width="15" style="5" bestFit="1" customWidth="1"/>
    <col min="15110" max="15110" width="5.140625" style="5" bestFit="1" customWidth="1"/>
    <col min="15111" max="15111" width="15" style="5" bestFit="1" customWidth="1"/>
    <col min="15112" max="15112" width="5.140625" style="5" bestFit="1" customWidth="1"/>
    <col min="15113" max="15113" width="15" style="5" bestFit="1" customWidth="1"/>
    <col min="15114" max="15114" width="5.140625" style="5" bestFit="1" customWidth="1"/>
    <col min="15115" max="15115" width="15" style="5" bestFit="1" customWidth="1"/>
    <col min="15116" max="15116" width="2.140625" style="5" bestFit="1" customWidth="1"/>
    <col min="15117" max="15117" width="9.140625" style="5"/>
    <col min="15118" max="15118" width="11.140625" style="5" bestFit="1" customWidth="1"/>
    <col min="15119" max="15361" width="9.140625" style="5"/>
    <col min="15362" max="15362" width="14.42578125" style="5" bestFit="1" customWidth="1"/>
    <col min="15363" max="15363" width="8.7109375" style="5" bestFit="1" customWidth="1"/>
    <col min="15364" max="15364" width="36.7109375" style="5" bestFit="1" customWidth="1"/>
    <col min="15365" max="15365" width="15" style="5" bestFit="1" customWidth="1"/>
    <col min="15366" max="15366" width="5.140625" style="5" bestFit="1" customWidth="1"/>
    <col min="15367" max="15367" width="15" style="5" bestFit="1" customWidth="1"/>
    <col min="15368" max="15368" width="5.140625" style="5" bestFit="1" customWidth="1"/>
    <col min="15369" max="15369" width="15" style="5" bestFit="1" customWidth="1"/>
    <col min="15370" max="15370" width="5.140625" style="5" bestFit="1" customWidth="1"/>
    <col min="15371" max="15371" width="15" style="5" bestFit="1" customWidth="1"/>
    <col min="15372" max="15372" width="2.140625" style="5" bestFit="1" customWidth="1"/>
    <col min="15373" max="15373" width="9.140625" style="5"/>
    <col min="15374" max="15374" width="11.140625" style="5" bestFit="1" customWidth="1"/>
    <col min="15375" max="15617" width="9.140625" style="5"/>
    <col min="15618" max="15618" width="14.42578125" style="5" bestFit="1" customWidth="1"/>
    <col min="15619" max="15619" width="8.7109375" style="5" bestFit="1" customWidth="1"/>
    <col min="15620" max="15620" width="36.7109375" style="5" bestFit="1" customWidth="1"/>
    <col min="15621" max="15621" width="15" style="5" bestFit="1" customWidth="1"/>
    <col min="15622" max="15622" width="5.140625" style="5" bestFit="1" customWidth="1"/>
    <col min="15623" max="15623" width="15" style="5" bestFit="1" customWidth="1"/>
    <col min="15624" max="15624" width="5.140625" style="5" bestFit="1" customWidth="1"/>
    <col min="15625" max="15625" width="15" style="5" bestFit="1" customWidth="1"/>
    <col min="15626" max="15626" width="5.140625" style="5" bestFit="1" customWidth="1"/>
    <col min="15627" max="15627" width="15" style="5" bestFit="1" customWidth="1"/>
    <col min="15628" max="15628" width="2.140625" style="5" bestFit="1" customWidth="1"/>
    <col min="15629" max="15629" width="9.140625" style="5"/>
    <col min="15630" max="15630" width="11.140625" style="5" bestFit="1" customWidth="1"/>
    <col min="15631" max="15873" width="9.140625" style="5"/>
    <col min="15874" max="15874" width="14.42578125" style="5" bestFit="1" customWidth="1"/>
    <col min="15875" max="15875" width="8.7109375" style="5" bestFit="1" customWidth="1"/>
    <col min="15876" max="15876" width="36.7109375" style="5" bestFit="1" customWidth="1"/>
    <col min="15877" max="15877" width="15" style="5" bestFit="1" customWidth="1"/>
    <col min="15878" max="15878" width="5.140625" style="5" bestFit="1" customWidth="1"/>
    <col min="15879" max="15879" width="15" style="5" bestFit="1" customWidth="1"/>
    <col min="15880" max="15880" width="5.140625" style="5" bestFit="1" customWidth="1"/>
    <col min="15881" max="15881" width="15" style="5" bestFit="1" customWidth="1"/>
    <col min="15882" max="15882" width="5.140625" style="5" bestFit="1" customWidth="1"/>
    <col min="15883" max="15883" width="15" style="5" bestFit="1" customWidth="1"/>
    <col min="15884" max="15884" width="2.140625" style="5" bestFit="1" customWidth="1"/>
    <col min="15885" max="15885" width="9.140625" style="5"/>
    <col min="15886" max="15886" width="11.140625" style="5" bestFit="1" customWidth="1"/>
    <col min="15887" max="16129" width="9.140625" style="5"/>
    <col min="16130" max="16130" width="14.42578125" style="5" bestFit="1" customWidth="1"/>
    <col min="16131" max="16131" width="8.7109375" style="5" bestFit="1" customWidth="1"/>
    <col min="16132" max="16132" width="36.7109375" style="5" bestFit="1" customWidth="1"/>
    <col min="16133" max="16133" width="15" style="5" bestFit="1" customWidth="1"/>
    <col min="16134" max="16134" width="5.140625" style="5" bestFit="1" customWidth="1"/>
    <col min="16135" max="16135" width="15" style="5" bestFit="1" customWidth="1"/>
    <col min="16136" max="16136" width="5.140625" style="5" bestFit="1" customWidth="1"/>
    <col min="16137" max="16137" width="15" style="5" bestFit="1" customWidth="1"/>
    <col min="16138" max="16138" width="5.140625" style="5" bestFit="1" customWidth="1"/>
    <col min="16139" max="16139" width="15" style="5" bestFit="1" customWidth="1"/>
    <col min="16140" max="16140" width="2.140625" style="5" bestFit="1" customWidth="1"/>
    <col min="16141" max="16141" width="9.140625" style="5"/>
    <col min="16142" max="16142" width="11.140625" style="5" bestFit="1" customWidth="1"/>
    <col min="16143" max="16384" width="9.140625" style="5"/>
  </cols>
  <sheetData>
    <row r="1" spans="1:16" x14ac:dyDescent="0.25">
      <c r="A1" t="s">
        <v>6</v>
      </c>
      <c r="B1" t="s">
        <v>7</v>
      </c>
      <c r="C1" t="s">
        <v>8</v>
      </c>
      <c r="D1" t="s">
        <v>9</v>
      </c>
      <c r="F1" t="s">
        <v>10</v>
      </c>
      <c r="G1">
        <v>1</v>
      </c>
      <c r="H1" t="s">
        <v>979</v>
      </c>
      <c r="I1">
        <v>0</v>
      </c>
      <c r="J1" t="s">
        <v>980</v>
      </c>
      <c r="N1" s="7" t="s">
        <v>13</v>
      </c>
      <c r="P1" s="7"/>
    </row>
    <row r="2" spans="1:16" x14ac:dyDescent="0.25">
      <c r="A2" t="s">
        <v>14</v>
      </c>
      <c r="B2">
        <v>-62</v>
      </c>
      <c r="H2" t="s">
        <v>15</v>
      </c>
      <c r="I2" t="s">
        <v>16</v>
      </c>
      <c r="J2" t="s">
        <v>981</v>
      </c>
      <c r="N2" s="6" t="str">
        <f>IF(ISERROR(VLOOKUP($A2,'Plano de Contas'!#REF!,8,FALSE)),"",VLOOKUP($A2,'Plano de Contas'!#REF!,8,FALSE))</f>
        <v/>
      </c>
    </row>
    <row r="3" spans="1:16" x14ac:dyDescent="0.25">
      <c r="J3" t="s">
        <v>982</v>
      </c>
      <c r="K3">
        <v>6</v>
      </c>
      <c r="N3" s="6" t="str">
        <f>IF(ISERROR(VLOOKUP($A3,'Plano de Contas'!#REF!,8,FALSE)),"",VLOOKUP($A3,'Plano de Contas'!#REF!,8,FALSE))</f>
        <v/>
      </c>
    </row>
    <row r="4" spans="1:16" x14ac:dyDescent="0.25">
      <c r="A4" t="s">
        <v>19</v>
      </c>
      <c r="B4" t="s">
        <v>20</v>
      </c>
      <c r="C4" t="s">
        <v>21</v>
      </c>
      <c r="D4" t="s">
        <v>22</v>
      </c>
      <c r="E4" t="s">
        <v>23</v>
      </c>
      <c r="F4" t="s">
        <v>24</v>
      </c>
      <c r="G4" t="s">
        <v>25</v>
      </c>
      <c r="H4" t="s">
        <v>26</v>
      </c>
      <c r="I4" t="s">
        <v>25</v>
      </c>
      <c r="J4" t="s">
        <v>27</v>
      </c>
      <c r="K4" t="s">
        <v>25</v>
      </c>
      <c r="L4" t="s">
        <v>28</v>
      </c>
      <c r="N4" s="6" t="str">
        <f>IF(ISERROR(VLOOKUP($A4,'Plano de Contas'!#REF!,8,FALSE)),"",VLOOKUP($A4,'Plano de Contas'!#REF!,8,FALSE))</f>
        <v/>
      </c>
    </row>
    <row r="5" spans="1:16" x14ac:dyDescent="0.25">
      <c r="A5" t="s">
        <v>29</v>
      </c>
      <c r="B5" t="s">
        <v>30</v>
      </c>
      <c r="C5" t="s">
        <v>31</v>
      </c>
      <c r="D5" t="s">
        <v>32</v>
      </c>
      <c r="E5" t="s">
        <v>33</v>
      </c>
      <c r="F5" t="s">
        <v>32</v>
      </c>
      <c r="G5" t="s">
        <v>33</v>
      </c>
      <c r="H5" t="s">
        <v>32</v>
      </c>
      <c r="I5" t="s">
        <v>33</v>
      </c>
      <c r="J5" t="s">
        <v>32</v>
      </c>
      <c r="K5" t="s">
        <v>33</v>
      </c>
      <c r="N5" s="6" t="str">
        <f>IF(ISERROR(VLOOKUP($A5,'Plano de Contas'!#REF!,8,FALSE)),"",VLOOKUP($A5,'Plano de Contas'!#REF!,8,FALSE))</f>
        <v/>
      </c>
      <c r="P5" s="6" t="str">
        <f>IF(ISERROR(VLOOKUP($A5,'Plano de Contas'!#REF!,10,FALSE)),"",VLOOKUP($A5,'Plano de Contas'!#REF!,10,FALSE))</f>
        <v/>
      </c>
    </row>
    <row r="6" spans="1:16" x14ac:dyDescent="0.25">
      <c r="J6" s="63"/>
      <c r="N6" s="6" t="str">
        <f>IF(ISERROR(VLOOKUP($A6,'Plano de Contas'!#REF!,8,FALSE)),"",VLOOKUP($A6,'Plano de Contas'!#REF!,8,FALSE))</f>
        <v/>
      </c>
      <c r="P6" s="6" t="str">
        <f>IF(ISERROR(VLOOKUP($A6,'Plano de Contas'!#REF!,10,FALSE)),"",VLOOKUP($A6,'Plano de Contas'!#REF!,10,FALSE))</f>
        <v/>
      </c>
    </row>
    <row r="7" spans="1:16" x14ac:dyDescent="0.25">
      <c r="A7">
        <v>1</v>
      </c>
      <c r="B7">
        <v>1</v>
      </c>
      <c r="C7" t="s">
        <v>34</v>
      </c>
      <c r="D7" s="10">
        <v>3041744656.1999998</v>
      </c>
      <c r="F7" s="10">
        <v>3314604780.1300001</v>
      </c>
      <c r="H7" s="10">
        <v>1142642160.1800001</v>
      </c>
      <c r="I7" t="s">
        <v>35</v>
      </c>
      <c r="J7" s="10">
        <v>5213707276.1499996</v>
      </c>
      <c r="L7" s="1">
        <f>IF(K7="-",-J7,J7)</f>
        <v>5213707276.1499996</v>
      </c>
      <c r="N7" s="6" t="str">
        <f>IF(ISERROR(VLOOKUP($A7,'Plano de Contas'!#REF!,8,FALSE)),"",VLOOKUP($A7,'Plano de Contas'!#REF!,8,FALSE))</f>
        <v/>
      </c>
      <c r="P7" s="6" t="str">
        <f>IF(ISERROR(VLOOKUP($A7,'Plano de Contas'!#REF!,10,FALSE)),"",VLOOKUP($A7,'Plano de Contas'!#REF!,10,FALSE))</f>
        <v/>
      </c>
    </row>
    <row r="8" spans="1:16" x14ac:dyDescent="0.25">
      <c r="L8" s="1">
        <f t="shared" ref="L8:L71" si="0">IF(K8="-",-J8,J8)</f>
        <v>0</v>
      </c>
      <c r="N8" s="6" t="str">
        <f>IF(ISERROR(VLOOKUP($A8,'Plano de Contas'!#REF!,8,FALSE)),"",VLOOKUP($A8,'Plano de Contas'!#REF!,8,FALSE))</f>
        <v/>
      </c>
      <c r="P8" s="6" t="str">
        <f>IF(ISERROR(VLOOKUP($A8,'Plano de Contas'!#REF!,10,FALSE)),"",VLOOKUP($A8,'Plano de Contas'!#REF!,10,FALSE))</f>
        <v/>
      </c>
    </row>
    <row r="9" spans="1:16" x14ac:dyDescent="0.25">
      <c r="A9" t="s">
        <v>36</v>
      </c>
      <c r="B9">
        <v>2</v>
      </c>
      <c r="C9" t="s">
        <v>37</v>
      </c>
      <c r="D9" s="10">
        <v>151747115.53999999</v>
      </c>
      <c r="F9" s="10">
        <v>97313613.450000003</v>
      </c>
      <c r="H9" s="10">
        <v>117793260.77</v>
      </c>
      <c r="I9" t="s">
        <v>35</v>
      </c>
      <c r="J9" s="10">
        <v>131267468.22</v>
      </c>
      <c r="L9" s="1">
        <f t="shared" si="0"/>
        <v>131267468.22</v>
      </c>
      <c r="N9" s="6" t="str">
        <f>IF(ISERROR(VLOOKUP($A9,'Plano de Contas'!#REF!,8,FALSE)),"",VLOOKUP($A9,'Plano de Contas'!#REF!,8,FALSE))</f>
        <v/>
      </c>
      <c r="P9" s="6" t="str">
        <f>IF(ISERROR(VLOOKUP($A9,'Plano de Contas'!#REF!,10,FALSE)),"",VLOOKUP($A9,'Plano de Contas'!#REF!,10,FALSE))</f>
        <v/>
      </c>
    </row>
    <row r="10" spans="1:16" x14ac:dyDescent="0.25">
      <c r="L10" s="1">
        <f t="shared" si="0"/>
        <v>0</v>
      </c>
      <c r="N10" s="6" t="str">
        <f>IF(ISERROR(VLOOKUP($A10,'Plano de Contas'!#REF!,8,FALSE)),"",VLOOKUP($A10,'Plano de Contas'!#REF!,8,FALSE))</f>
        <v/>
      </c>
      <c r="P10" s="6" t="str">
        <f>IF(ISERROR(VLOOKUP($A10,'Plano de Contas'!#REF!,10,FALSE)),"",VLOOKUP($A10,'Plano de Contas'!#REF!,10,FALSE))</f>
        <v/>
      </c>
    </row>
    <row r="11" spans="1:16" x14ac:dyDescent="0.25">
      <c r="A11" t="s">
        <v>38</v>
      </c>
      <c r="B11">
        <v>3</v>
      </c>
      <c r="C11" t="s">
        <v>39</v>
      </c>
      <c r="D11" s="10">
        <v>106389640.06999999</v>
      </c>
      <c r="F11" s="10">
        <v>81811129.540000007</v>
      </c>
      <c r="H11" s="10">
        <v>97081796.079999998</v>
      </c>
      <c r="I11" t="s">
        <v>35</v>
      </c>
      <c r="J11" s="10">
        <v>91118973.530000001</v>
      </c>
      <c r="L11" s="1">
        <f t="shared" si="0"/>
        <v>91118973.530000001</v>
      </c>
      <c r="N11" s="6" t="str">
        <f>IF(ISERROR(VLOOKUP($A11,'Plano de Contas'!#REF!,8,FALSE)),"",VLOOKUP($A11,'Plano de Contas'!#REF!,8,FALSE))</f>
        <v/>
      </c>
      <c r="P11" s="6" t="str">
        <f>IF(ISERROR(VLOOKUP($A11,'Plano de Contas'!#REF!,10,FALSE)),"",VLOOKUP($A11,'Plano de Contas'!#REF!,10,FALSE))</f>
        <v/>
      </c>
    </row>
    <row r="12" spans="1:16" x14ac:dyDescent="0.25">
      <c r="L12" s="1">
        <f t="shared" si="0"/>
        <v>0</v>
      </c>
      <c r="N12" s="6" t="str">
        <f>IF(ISERROR(VLOOKUP($A12,'Plano de Contas'!#REF!,8,FALSE)),"",VLOOKUP($A12,'Plano de Contas'!#REF!,8,FALSE))</f>
        <v/>
      </c>
      <c r="P12" s="6" t="str">
        <f>IF(ISERROR(VLOOKUP($A12,'Plano de Contas'!#REF!,10,FALSE)),"",VLOOKUP($A12,'Plano de Contas'!#REF!,10,FALSE))</f>
        <v/>
      </c>
    </row>
    <row r="13" spans="1:16" x14ac:dyDescent="0.25">
      <c r="A13" t="s">
        <v>40</v>
      </c>
      <c r="B13">
        <v>4</v>
      </c>
      <c r="C13" t="s">
        <v>41</v>
      </c>
      <c r="D13">
        <v>0</v>
      </c>
      <c r="F13" s="10">
        <v>6380.56</v>
      </c>
      <c r="H13" s="10">
        <v>6380.56</v>
      </c>
      <c r="I13" t="s">
        <v>35</v>
      </c>
      <c r="J13">
        <v>0</v>
      </c>
      <c r="L13" s="1">
        <f t="shared" si="0"/>
        <v>0</v>
      </c>
      <c r="N13" s="6" t="str">
        <f>IF(ISERROR(VLOOKUP($A13,'Plano de Contas'!#REF!,8,FALSE)),"",VLOOKUP($A13,'Plano de Contas'!#REF!,8,FALSE))</f>
        <v/>
      </c>
      <c r="P13" s="6" t="str">
        <f>IF(ISERROR(VLOOKUP($A13,'Plano de Contas'!#REF!,10,FALSE)),"",VLOOKUP($A13,'Plano de Contas'!#REF!,10,FALSE))</f>
        <v/>
      </c>
    </row>
    <row r="14" spans="1:16" x14ac:dyDescent="0.25">
      <c r="A14" t="s">
        <v>42</v>
      </c>
      <c r="B14">
        <v>6</v>
      </c>
      <c r="C14" t="s">
        <v>43</v>
      </c>
      <c r="D14">
        <v>0</v>
      </c>
      <c r="F14" s="10">
        <v>6380.56</v>
      </c>
      <c r="H14" s="10">
        <v>6380.56</v>
      </c>
      <c r="I14" t="s">
        <v>35</v>
      </c>
      <c r="J14">
        <v>0</v>
      </c>
      <c r="L14" s="1">
        <f t="shared" si="0"/>
        <v>0</v>
      </c>
      <c r="N14" s="6" t="str">
        <f>IF(ISERROR(VLOOKUP($A14,'Plano de Contas'!#REF!,8,FALSE)),"",VLOOKUP($A14,'Plano de Contas'!#REF!,8,FALSE))</f>
        <v/>
      </c>
      <c r="P14" s="6" t="str">
        <f>IF(ISERROR(VLOOKUP($A14,'Plano de Contas'!#REF!,10,FALSE)),"",VLOOKUP($A14,'Plano de Contas'!#REF!,10,FALSE))</f>
        <v/>
      </c>
    </row>
    <row r="15" spans="1:16" x14ac:dyDescent="0.25">
      <c r="L15" s="1">
        <f t="shared" si="0"/>
        <v>0</v>
      </c>
      <c r="N15" s="6" t="str">
        <f>IF(ISERROR(VLOOKUP($A15,'Plano de Contas'!#REF!,8,FALSE)),"",VLOOKUP($A15,'Plano de Contas'!#REF!,8,FALSE))</f>
        <v/>
      </c>
      <c r="P15" s="6" t="str">
        <f>IF(ISERROR(VLOOKUP($A15,'Plano de Contas'!#REF!,10,FALSE)),"",VLOOKUP($A15,'Plano de Contas'!#REF!,10,FALSE))</f>
        <v/>
      </c>
    </row>
    <row r="16" spans="1:16" x14ac:dyDescent="0.25">
      <c r="A16" t="s">
        <v>44</v>
      </c>
      <c r="B16">
        <v>7</v>
      </c>
      <c r="C16" t="s">
        <v>45</v>
      </c>
      <c r="D16" s="10">
        <v>35169800.68</v>
      </c>
      <c r="F16" s="10">
        <v>77546674.859999999</v>
      </c>
      <c r="H16" s="10">
        <v>80676771.650000006</v>
      </c>
      <c r="I16" t="s">
        <v>35</v>
      </c>
      <c r="J16" s="10">
        <v>32039703.890000001</v>
      </c>
      <c r="L16" s="1">
        <f t="shared" si="0"/>
        <v>32039703.890000001</v>
      </c>
      <c r="N16" s="6" t="str">
        <f>IF(ISERROR(VLOOKUP($A16,'Plano de Contas'!#REF!,8,FALSE)),"",VLOOKUP($A16,'Plano de Contas'!#REF!,8,FALSE))</f>
        <v/>
      </c>
      <c r="P16" s="6" t="str">
        <f>IF(ISERROR(VLOOKUP($A16,'Plano de Contas'!#REF!,10,FALSE)),"",VLOOKUP($A16,'Plano de Contas'!#REF!,10,FALSE))</f>
        <v/>
      </c>
    </row>
    <row r="17" spans="1:16" x14ac:dyDescent="0.25">
      <c r="A17" t="s">
        <v>46</v>
      </c>
      <c r="B17">
        <v>11</v>
      </c>
      <c r="C17" t="s">
        <v>47</v>
      </c>
      <c r="D17">
        <v>0.01</v>
      </c>
      <c r="F17">
        <v>0</v>
      </c>
      <c r="H17">
        <v>0.01</v>
      </c>
      <c r="I17" t="s">
        <v>35</v>
      </c>
      <c r="J17">
        <v>0</v>
      </c>
      <c r="L17" s="1">
        <f t="shared" si="0"/>
        <v>0</v>
      </c>
      <c r="N17" s="6" t="str">
        <f>IF(ISERROR(VLOOKUP($A17,'Plano de Contas'!#REF!,8,FALSE)),"",VLOOKUP($A17,'Plano de Contas'!#REF!,8,FALSE))</f>
        <v/>
      </c>
      <c r="P17" s="6" t="str">
        <f>IF(ISERROR(VLOOKUP($A17,'Plano de Contas'!#REF!,10,FALSE)),"",VLOOKUP($A17,'Plano de Contas'!#REF!,10,FALSE))</f>
        <v/>
      </c>
    </row>
    <row r="18" spans="1:16" x14ac:dyDescent="0.25">
      <c r="A18" t="s">
        <v>48</v>
      </c>
      <c r="B18">
        <v>12</v>
      </c>
      <c r="C18" t="s">
        <v>49</v>
      </c>
      <c r="D18" s="10">
        <v>1438652.13</v>
      </c>
      <c r="F18" s="10">
        <v>12969016.16</v>
      </c>
      <c r="H18" s="10">
        <v>14326147.42</v>
      </c>
      <c r="I18" t="s">
        <v>35</v>
      </c>
      <c r="J18" s="10">
        <v>81520.87</v>
      </c>
      <c r="L18" s="1">
        <f t="shared" si="0"/>
        <v>81520.87</v>
      </c>
      <c r="N18" s="6" t="str">
        <f>IF(ISERROR(VLOOKUP($A18,'Plano de Contas'!#REF!,8,FALSE)),"",VLOOKUP($A18,'Plano de Contas'!#REF!,8,FALSE))</f>
        <v/>
      </c>
      <c r="P18" s="6" t="str">
        <f>IF(ISERROR(VLOOKUP($A18,'Plano de Contas'!#REF!,10,FALSE)),"",VLOOKUP($A18,'Plano de Contas'!#REF!,10,FALSE))</f>
        <v/>
      </c>
    </row>
    <row r="19" spans="1:16" x14ac:dyDescent="0.25">
      <c r="A19" t="s">
        <v>50</v>
      </c>
      <c r="B19">
        <v>14</v>
      </c>
      <c r="C19" t="s">
        <v>51</v>
      </c>
      <c r="D19">
        <v>17.86</v>
      </c>
      <c r="F19">
        <v>0</v>
      </c>
      <c r="H19">
        <v>17.86</v>
      </c>
      <c r="J19">
        <v>0</v>
      </c>
      <c r="L19" s="1">
        <f t="shared" si="0"/>
        <v>0</v>
      </c>
      <c r="N19" s="6" t="str">
        <f>IF(ISERROR(VLOOKUP($A19,'Plano de Contas'!#REF!,8,FALSE)),"",VLOOKUP($A19,'Plano de Contas'!#REF!,8,FALSE))</f>
        <v/>
      </c>
      <c r="P19" s="6" t="str">
        <f>IF(ISERROR(VLOOKUP($A19,'Plano de Contas'!#REF!,10,FALSE)),"",VLOOKUP($A19,'Plano de Contas'!#REF!,10,FALSE))</f>
        <v/>
      </c>
    </row>
    <row r="20" spans="1:16" x14ac:dyDescent="0.25">
      <c r="A20" t="s">
        <v>52</v>
      </c>
      <c r="B20">
        <v>544</v>
      </c>
      <c r="C20" t="s">
        <v>53</v>
      </c>
      <c r="D20">
        <v>0</v>
      </c>
      <c r="F20" s="10">
        <v>2892836.71</v>
      </c>
      <c r="H20" s="10">
        <v>2892836.71</v>
      </c>
      <c r="I20" t="s">
        <v>35</v>
      </c>
      <c r="J20">
        <v>0</v>
      </c>
      <c r="L20" s="1">
        <f t="shared" si="0"/>
        <v>0</v>
      </c>
      <c r="N20" s="6" t="str">
        <f>IF(ISERROR(VLOOKUP($A20,'Plano de Contas'!#REF!,8,FALSE)),"",VLOOKUP($A20,'Plano de Contas'!#REF!,8,FALSE))</f>
        <v/>
      </c>
      <c r="P20" s="6" t="str">
        <f>IF(ISERROR(VLOOKUP($A20,'Plano de Contas'!#REF!,10,FALSE)),"",VLOOKUP($A20,'Plano de Contas'!#REF!,10,FALSE))</f>
        <v/>
      </c>
    </row>
    <row r="21" spans="1:16" x14ac:dyDescent="0.25">
      <c r="A21" t="s">
        <v>54</v>
      </c>
      <c r="B21">
        <v>561</v>
      </c>
      <c r="C21" t="s">
        <v>55</v>
      </c>
      <c r="D21">
        <v>50.4</v>
      </c>
      <c r="F21">
        <v>0</v>
      </c>
      <c r="H21">
        <v>50.4</v>
      </c>
      <c r="I21" t="s">
        <v>35</v>
      </c>
      <c r="J21">
        <v>0</v>
      </c>
      <c r="L21" s="1">
        <f t="shared" si="0"/>
        <v>0</v>
      </c>
      <c r="N21" s="6" t="str">
        <f>IF(ISERROR(VLOOKUP($A21,'Plano de Contas'!#REF!,8,FALSE)),"",VLOOKUP($A21,'Plano de Contas'!#REF!,8,FALSE))</f>
        <v/>
      </c>
      <c r="P21" s="6" t="str">
        <f>IF(ISERROR(VLOOKUP($A21,'Plano de Contas'!#REF!,10,FALSE)),"",VLOOKUP($A21,'Plano de Contas'!#REF!,10,FALSE))</f>
        <v/>
      </c>
    </row>
    <row r="22" spans="1:16" x14ac:dyDescent="0.25">
      <c r="A22" t="s">
        <v>56</v>
      </c>
      <c r="B22">
        <v>583</v>
      </c>
      <c r="C22" t="s">
        <v>57</v>
      </c>
      <c r="D22" s="10">
        <v>7337374.5499999998</v>
      </c>
      <c r="F22">
        <v>0</v>
      </c>
      <c r="H22" s="10">
        <v>1942406.28</v>
      </c>
      <c r="I22" t="s">
        <v>35</v>
      </c>
      <c r="J22" s="10">
        <v>5394968.2699999996</v>
      </c>
      <c r="L22" s="1">
        <f t="shared" si="0"/>
        <v>5394968.2699999996</v>
      </c>
      <c r="N22" s="6" t="str">
        <f>IF(ISERROR(VLOOKUP($A22,'Plano de Contas'!#REF!,8,FALSE)),"",VLOOKUP($A22,'Plano de Contas'!#REF!,8,FALSE))</f>
        <v/>
      </c>
      <c r="P22" s="6" t="str">
        <f>IF(ISERROR(VLOOKUP($A22,'Plano de Contas'!#REF!,10,FALSE)),"",VLOOKUP($A22,'Plano de Contas'!#REF!,10,FALSE))</f>
        <v/>
      </c>
    </row>
    <row r="23" spans="1:16" x14ac:dyDescent="0.25">
      <c r="A23" t="s">
        <v>58</v>
      </c>
      <c r="B23">
        <v>694</v>
      </c>
      <c r="C23" t="s">
        <v>59</v>
      </c>
      <c r="D23">
        <v>0</v>
      </c>
      <c r="F23" s="10">
        <v>4781130.0599999996</v>
      </c>
      <c r="H23" s="10">
        <v>4781130.0599999996</v>
      </c>
      <c r="I23" t="s">
        <v>35</v>
      </c>
      <c r="J23">
        <v>0</v>
      </c>
      <c r="L23" s="1">
        <f t="shared" si="0"/>
        <v>0</v>
      </c>
      <c r="N23" s="6" t="str">
        <f>IF(ISERROR(VLOOKUP($A23,'Plano de Contas'!#REF!,8,FALSE)),"",VLOOKUP($A23,'Plano de Contas'!#REF!,8,FALSE))</f>
        <v/>
      </c>
      <c r="P23" s="6" t="str">
        <f>IF(ISERROR(VLOOKUP($A23,'Plano de Contas'!#REF!,10,FALSE)),"",VLOOKUP($A23,'Plano de Contas'!#REF!,10,FALSE))</f>
        <v/>
      </c>
    </row>
    <row r="24" spans="1:16" x14ac:dyDescent="0.25">
      <c r="A24" t="s">
        <v>60</v>
      </c>
      <c r="B24">
        <v>699</v>
      </c>
      <c r="C24" t="s">
        <v>61</v>
      </c>
      <c r="D24" s="10">
        <v>3013106.39</v>
      </c>
      <c r="F24">
        <v>0</v>
      </c>
      <c r="H24" s="10">
        <v>2880269.2</v>
      </c>
      <c r="I24" t="s">
        <v>35</v>
      </c>
      <c r="J24" s="10">
        <v>132837.19</v>
      </c>
      <c r="L24" s="1">
        <f t="shared" si="0"/>
        <v>132837.19</v>
      </c>
      <c r="N24" s="6" t="str">
        <f>IF(ISERROR(VLOOKUP($A24,'Plano de Contas'!#REF!,8,FALSE)),"",VLOOKUP($A24,'Plano de Contas'!#REF!,8,FALSE))</f>
        <v/>
      </c>
      <c r="P24" s="6" t="str">
        <f>IF(ISERROR(VLOOKUP($A24,'Plano de Contas'!#REF!,10,FALSE)),"",VLOOKUP($A24,'Plano de Contas'!#REF!,10,FALSE))</f>
        <v/>
      </c>
    </row>
    <row r="25" spans="1:16" x14ac:dyDescent="0.25">
      <c r="A25" t="s">
        <v>62</v>
      </c>
      <c r="B25">
        <v>725</v>
      </c>
      <c r="C25" t="s">
        <v>63</v>
      </c>
      <c r="D25" s="10">
        <v>13760.07</v>
      </c>
      <c r="E25" t="s">
        <v>35</v>
      </c>
      <c r="F25" s="10">
        <v>8725548.2599999998</v>
      </c>
      <c r="H25" s="10">
        <v>6183334.3899999997</v>
      </c>
      <c r="I25" t="s">
        <v>35</v>
      </c>
      <c r="J25" s="10">
        <v>2528453.7999999998</v>
      </c>
      <c r="L25" s="1">
        <f t="shared" si="0"/>
        <v>2528453.7999999998</v>
      </c>
      <c r="N25" s="6" t="str">
        <f>IF(ISERROR(VLOOKUP($A25,'Plano de Contas'!#REF!,8,FALSE)),"",VLOOKUP($A25,'Plano de Contas'!#REF!,8,FALSE))</f>
        <v/>
      </c>
      <c r="P25" s="6" t="str">
        <f>IF(ISERROR(VLOOKUP($A25,'Plano de Contas'!#REF!,10,FALSE)),"",VLOOKUP($A25,'Plano de Contas'!#REF!,10,FALSE))</f>
        <v/>
      </c>
    </row>
    <row r="26" spans="1:16" x14ac:dyDescent="0.25">
      <c r="A26" t="s">
        <v>64</v>
      </c>
      <c r="B26">
        <v>727</v>
      </c>
      <c r="C26" t="s">
        <v>65</v>
      </c>
      <c r="D26" s="10">
        <v>18845.89</v>
      </c>
      <c r="F26">
        <v>0</v>
      </c>
      <c r="H26">
        <v>35</v>
      </c>
      <c r="I26" t="s">
        <v>35</v>
      </c>
      <c r="J26" s="10">
        <v>18810.89</v>
      </c>
      <c r="L26" s="1">
        <f t="shared" si="0"/>
        <v>18810.89</v>
      </c>
      <c r="N26" s="6" t="str">
        <f>IF(ISERROR(VLOOKUP($A26,'Plano de Contas'!#REF!,8,FALSE)),"",VLOOKUP($A26,'Plano de Contas'!#REF!,8,FALSE))</f>
        <v/>
      </c>
      <c r="P26" s="6" t="str">
        <f>IF(ISERROR(VLOOKUP($A26,'Plano de Contas'!#REF!,10,FALSE)),"",VLOOKUP($A26,'Plano de Contas'!#REF!,10,FALSE))</f>
        <v/>
      </c>
    </row>
    <row r="27" spans="1:16" x14ac:dyDescent="0.25">
      <c r="A27" t="s">
        <v>66</v>
      </c>
      <c r="B27">
        <v>728</v>
      </c>
      <c r="C27" t="s">
        <v>67</v>
      </c>
      <c r="D27" s="10">
        <v>3141.78</v>
      </c>
      <c r="F27" s="10">
        <v>2306380.2999999998</v>
      </c>
      <c r="H27" s="10">
        <v>2306415.2999999998</v>
      </c>
      <c r="I27" t="s">
        <v>35</v>
      </c>
      <c r="J27" s="10">
        <v>3106.78</v>
      </c>
      <c r="L27" s="1">
        <f t="shared" si="0"/>
        <v>3106.78</v>
      </c>
      <c r="N27" s="6" t="str">
        <f>IF(ISERROR(VLOOKUP($A27,'Plano de Contas'!#REF!,8,FALSE)),"",VLOOKUP($A27,'Plano de Contas'!#REF!,8,FALSE))</f>
        <v/>
      </c>
      <c r="P27" s="6" t="str">
        <f>IF(ISERROR(VLOOKUP($A27,'Plano de Contas'!#REF!,10,FALSE)),"",VLOOKUP($A27,'Plano de Contas'!#REF!,10,FALSE))</f>
        <v/>
      </c>
    </row>
    <row r="28" spans="1:16" x14ac:dyDescent="0.25">
      <c r="A28" t="s">
        <v>68</v>
      </c>
      <c r="B28">
        <v>730</v>
      </c>
      <c r="C28" t="s">
        <v>69</v>
      </c>
      <c r="D28" s="10">
        <v>350757.43</v>
      </c>
      <c r="F28" s="10">
        <v>6240620.8200000003</v>
      </c>
      <c r="H28" s="10">
        <v>6365228.8499999996</v>
      </c>
      <c r="I28" t="s">
        <v>35</v>
      </c>
      <c r="J28" s="10">
        <v>226149.4</v>
      </c>
      <c r="L28" s="1">
        <f t="shared" si="0"/>
        <v>226149.4</v>
      </c>
      <c r="N28" s="6" t="str">
        <f>IF(ISERROR(VLOOKUP($A28,'Plano de Contas'!#REF!,8,FALSE)),"",VLOOKUP($A28,'Plano de Contas'!#REF!,8,FALSE))</f>
        <v/>
      </c>
      <c r="P28" s="6" t="str">
        <f>IF(ISERROR(VLOOKUP($A28,'Plano de Contas'!#REF!,10,FALSE)),"",VLOOKUP($A28,'Plano de Contas'!#REF!,10,FALSE))</f>
        <v/>
      </c>
    </row>
    <row r="29" spans="1:16" x14ac:dyDescent="0.25">
      <c r="A29" t="s">
        <v>72</v>
      </c>
      <c r="B29">
        <v>832</v>
      </c>
      <c r="C29" t="s">
        <v>73</v>
      </c>
      <c r="D29">
        <v>805.99</v>
      </c>
      <c r="F29">
        <v>0</v>
      </c>
      <c r="H29">
        <v>0</v>
      </c>
      <c r="J29">
        <v>805.99</v>
      </c>
      <c r="L29" s="1">
        <f t="shared" si="0"/>
        <v>805.99</v>
      </c>
      <c r="N29" s="6" t="str">
        <f>IF(ISERROR(VLOOKUP($A29,'Plano de Contas'!#REF!,8,FALSE)),"",VLOOKUP($A29,'Plano de Contas'!#REF!,8,FALSE))</f>
        <v/>
      </c>
      <c r="P29" s="6" t="str">
        <f>IF(ISERROR(VLOOKUP($A29,'Plano de Contas'!#REF!,10,FALSE)),"",VLOOKUP($A29,'Plano de Contas'!#REF!,10,FALSE))</f>
        <v/>
      </c>
    </row>
    <row r="30" spans="1:16" x14ac:dyDescent="0.25">
      <c r="A30" t="s">
        <v>74</v>
      </c>
      <c r="B30">
        <v>900</v>
      </c>
      <c r="C30" t="s">
        <v>75</v>
      </c>
      <c r="D30" s="10">
        <v>181943.19</v>
      </c>
      <c r="F30">
        <v>0</v>
      </c>
      <c r="H30">
        <v>0</v>
      </c>
      <c r="J30" s="10">
        <v>181943.19</v>
      </c>
      <c r="L30" s="1">
        <f t="shared" si="0"/>
        <v>181943.19</v>
      </c>
      <c r="N30" s="6" t="str">
        <f>IF(ISERROR(VLOOKUP($A30,'Plano de Contas'!#REF!,8,FALSE)),"",VLOOKUP($A30,'Plano de Contas'!#REF!,8,FALSE))</f>
        <v/>
      </c>
      <c r="P30" s="6" t="str">
        <f>IF(ISERROR(VLOOKUP($A30,'Plano de Contas'!#REF!,10,FALSE)),"",VLOOKUP($A30,'Plano de Contas'!#REF!,10,FALSE))</f>
        <v/>
      </c>
    </row>
    <row r="31" spans="1:16" x14ac:dyDescent="0.25">
      <c r="A31" t="s">
        <v>983</v>
      </c>
      <c r="B31">
        <v>918</v>
      </c>
      <c r="C31" t="s">
        <v>984</v>
      </c>
      <c r="D31" s="10">
        <v>23601.09</v>
      </c>
      <c r="F31">
        <v>0</v>
      </c>
      <c r="H31">
        <v>0</v>
      </c>
      <c r="J31" s="10">
        <v>23601.09</v>
      </c>
      <c r="L31" s="1">
        <f t="shared" si="0"/>
        <v>23601.09</v>
      </c>
      <c r="N31" s="6" t="str">
        <f>IF(ISERROR(VLOOKUP($A31,'Plano de Contas'!#REF!,8,FALSE)),"",VLOOKUP($A31,'Plano de Contas'!#REF!,8,FALSE))</f>
        <v/>
      </c>
      <c r="P31" s="6" t="str">
        <f>IF(ISERROR(VLOOKUP($A31,'Plano de Contas'!#REF!,10,FALSE)),"",VLOOKUP($A31,'Plano de Contas'!#REF!,10,FALSE))</f>
        <v/>
      </c>
    </row>
    <row r="32" spans="1:16" x14ac:dyDescent="0.25">
      <c r="A32" t="s">
        <v>76</v>
      </c>
      <c r="B32">
        <v>919</v>
      </c>
      <c r="C32" t="s">
        <v>77</v>
      </c>
      <c r="D32" s="10">
        <v>1068198.58</v>
      </c>
      <c r="F32" s="10">
        <v>8385275.4400000004</v>
      </c>
      <c r="H32" s="10">
        <v>5186852.16</v>
      </c>
      <c r="I32" t="s">
        <v>35</v>
      </c>
      <c r="J32" s="10">
        <v>4266621.8600000003</v>
      </c>
      <c r="L32" s="1">
        <f t="shared" si="0"/>
        <v>4266621.8600000003</v>
      </c>
      <c r="N32" s="6" t="str">
        <f>IF(ISERROR(VLOOKUP($A32,'Plano de Contas'!#REF!,8,FALSE)),"",VLOOKUP($A32,'Plano de Contas'!#REF!,8,FALSE))</f>
        <v/>
      </c>
      <c r="P32" s="6" t="str">
        <f>IF(ISERROR(VLOOKUP($A32,'Plano de Contas'!#REF!,10,FALSE)),"",VLOOKUP($A32,'Plano de Contas'!#REF!,10,FALSE))</f>
        <v/>
      </c>
    </row>
    <row r="33" spans="1:16" x14ac:dyDescent="0.25">
      <c r="A33" t="s">
        <v>78</v>
      </c>
      <c r="B33">
        <v>920</v>
      </c>
      <c r="C33" t="s">
        <v>79</v>
      </c>
      <c r="D33" s="10">
        <v>1601.33</v>
      </c>
      <c r="F33" s="10">
        <v>925379.52</v>
      </c>
      <c r="H33" s="10">
        <v>926867.17</v>
      </c>
      <c r="I33" t="s">
        <v>35</v>
      </c>
      <c r="J33">
        <v>113.68</v>
      </c>
      <c r="L33" s="1">
        <f t="shared" si="0"/>
        <v>113.68</v>
      </c>
      <c r="N33" s="6" t="str">
        <f>IF(ISERROR(VLOOKUP($A33,'Plano de Contas'!#REF!,8,FALSE)),"",VLOOKUP($A33,'Plano de Contas'!#REF!,8,FALSE))</f>
        <v/>
      </c>
      <c r="P33" s="6" t="str">
        <f>IF(ISERROR(VLOOKUP($A33,'Plano de Contas'!#REF!,10,FALSE)),"",VLOOKUP($A33,'Plano de Contas'!#REF!,10,FALSE))</f>
        <v/>
      </c>
    </row>
    <row r="34" spans="1:16" x14ac:dyDescent="0.25">
      <c r="A34" t="s">
        <v>80</v>
      </c>
      <c r="B34">
        <v>931</v>
      </c>
      <c r="C34" t="s">
        <v>81</v>
      </c>
      <c r="D34">
        <v>308.39999999999998</v>
      </c>
      <c r="F34" s="10">
        <v>11916017.470000001</v>
      </c>
      <c r="H34" s="10">
        <v>11916165.359999999</v>
      </c>
      <c r="I34" t="s">
        <v>35</v>
      </c>
      <c r="J34">
        <v>160.51</v>
      </c>
      <c r="L34" s="1">
        <f t="shared" si="0"/>
        <v>160.51</v>
      </c>
      <c r="N34" s="6" t="str">
        <f>IF(ISERROR(VLOOKUP($A34,'Plano de Contas'!#REF!,8,FALSE)),"",VLOOKUP($A34,'Plano de Contas'!#REF!,8,FALSE))</f>
        <v/>
      </c>
      <c r="P34" s="6" t="str">
        <f>IF(ISERROR(VLOOKUP($A34,'Plano de Contas'!#REF!,10,FALSE)),"",VLOOKUP($A34,'Plano de Contas'!#REF!,10,FALSE))</f>
        <v/>
      </c>
    </row>
    <row r="35" spans="1:16" x14ac:dyDescent="0.25">
      <c r="A35" t="s">
        <v>82</v>
      </c>
      <c r="B35">
        <v>943</v>
      </c>
      <c r="C35" t="s">
        <v>83</v>
      </c>
      <c r="D35" s="10">
        <v>101228.49</v>
      </c>
      <c r="F35">
        <v>0</v>
      </c>
      <c r="H35">
        <v>0</v>
      </c>
      <c r="J35" s="10">
        <v>101228.49</v>
      </c>
      <c r="L35" s="1">
        <f t="shared" si="0"/>
        <v>101228.49</v>
      </c>
      <c r="N35" s="6" t="str">
        <f>IF(ISERROR(VLOOKUP($A35,'Plano de Contas'!#REF!,8,FALSE)),"",VLOOKUP($A35,'Plano de Contas'!#REF!,8,FALSE))</f>
        <v/>
      </c>
      <c r="P35" s="6" t="str">
        <f>IF(ISERROR(VLOOKUP($A35,'Plano de Contas'!#REF!,10,FALSE)),"",VLOOKUP($A35,'Plano de Contas'!#REF!,10,FALSE))</f>
        <v/>
      </c>
    </row>
    <row r="36" spans="1:16" x14ac:dyDescent="0.25">
      <c r="A36" t="s">
        <v>84</v>
      </c>
      <c r="B36">
        <v>944</v>
      </c>
      <c r="C36" t="s">
        <v>85</v>
      </c>
      <c r="D36" s="10">
        <v>3000</v>
      </c>
      <c r="E36" t="s">
        <v>35</v>
      </c>
      <c r="F36" s="10">
        <v>39500</v>
      </c>
      <c r="H36" s="10">
        <v>40750</v>
      </c>
      <c r="I36" t="s">
        <v>35</v>
      </c>
      <c r="J36" s="10">
        <v>4250</v>
      </c>
      <c r="K36" t="s">
        <v>35</v>
      </c>
      <c r="L36" s="1">
        <f t="shared" si="0"/>
        <v>-4250</v>
      </c>
      <c r="N36" s="6" t="str">
        <f>IF(ISERROR(VLOOKUP($A36,'Plano de Contas'!#REF!,8,FALSE)),"",VLOOKUP($A36,'Plano de Contas'!#REF!,8,FALSE))</f>
        <v/>
      </c>
      <c r="P36" s="6" t="str">
        <f>IF(ISERROR(VLOOKUP($A36,'Plano de Contas'!#REF!,10,FALSE)),"",VLOOKUP($A36,'Plano de Contas'!#REF!,10,FALSE))</f>
        <v/>
      </c>
    </row>
    <row r="37" spans="1:16" x14ac:dyDescent="0.25">
      <c r="A37" t="s">
        <v>86</v>
      </c>
      <c r="B37">
        <v>960</v>
      </c>
      <c r="C37" t="s">
        <v>87</v>
      </c>
      <c r="D37" s="10">
        <v>627015.68999999994</v>
      </c>
      <c r="F37" s="10">
        <v>10930.1</v>
      </c>
      <c r="H37" s="10">
        <v>2459.2600000000002</v>
      </c>
      <c r="J37" s="10">
        <v>635486.53</v>
      </c>
      <c r="L37" s="1">
        <f t="shared" si="0"/>
        <v>635486.53</v>
      </c>
      <c r="N37" s="6" t="str">
        <f>IF(ISERROR(VLOOKUP($A37,'Plano de Contas'!#REF!,8,FALSE)),"",VLOOKUP($A37,'Plano de Contas'!#REF!,8,FALSE))</f>
        <v/>
      </c>
      <c r="P37" s="6" t="str">
        <f>IF(ISERROR(VLOOKUP($A37,'Plano de Contas'!#REF!,10,FALSE)),"",VLOOKUP($A37,'Plano de Contas'!#REF!,10,FALSE))</f>
        <v/>
      </c>
    </row>
    <row r="38" spans="1:16" x14ac:dyDescent="0.25">
      <c r="A38" t="s">
        <v>985</v>
      </c>
      <c r="B38">
        <v>983</v>
      </c>
      <c r="C38" t="s">
        <v>986</v>
      </c>
      <c r="D38" s="10">
        <v>21019911.550000001</v>
      </c>
      <c r="F38" s="10">
        <v>43505.64</v>
      </c>
      <c r="H38" s="10">
        <v>20925806.219999999</v>
      </c>
      <c r="J38" s="10">
        <v>137610.97</v>
      </c>
      <c r="L38" s="1">
        <f t="shared" si="0"/>
        <v>137610.97</v>
      </c>
      <c r="N38" s="6" t="str">
        <f>IF(ISERROR(VLOOKUP($A38,'Plano de Contas'!#REF!,8,FALSE)),"",VLOOKUP($A38,'Plano de Contas'!#REF!,8,FALSE))</f>
        <v/>
      </c>
      <c r="P38" s="6" t="str">
        <f>IF(ISERROR(VLOOKUP($A38,'Plano de Contas'!#REF!,10,FALSE)),"",VLOOKUP($A38,'Plano de Contas'!#REF!,10,FALSE))</f>
        <v/>
      </c>
    </row>
    <row r="39" spans="1:16" x14ac:dyDescent="0.25">
      <c r="A39" t="s">
        <v>987</v>
      </c>
      <c r="B39">
        <v>986</v>
      </c>
      <c r="C39" t="s">
        <v>988</v>
      </c>
      <c r="D39">
        <v>0</v>
      </c>
      <c r="F39" s="10">
        <v>18310534.379999999</v>
      </c>
      <c r="H39">
        <v>0</v>
      </c>
      <c r="J39" s="10">
        <v>18310534.379999999</v>
      </c>
      <c r="L39" s="1">
        <f t="shared" si="0"/>
        <v>18310534.379999999</v>
      </c>
      <c r="N39" s="6" t="str">
        <f>IF(ISERROR(VLOOKUP($A39,'Plano de Contas'!#REF!,8,FALSE)),"",VLOOKUP($A39,'Plano de Contas'!#REF!,8,FALSE))</f>
        <v/>
      </c>
      <c r="P39" s="6" t="str">
        <f>IF(ISERROR(VLOOKUP($A39,'Plano de Contas'!#REF!,10,FALSE)),"",VLOOKUP($A39,'Plano de Contas'!#REF!,10,FALSE))</f>
        <v/>
      </c>
    </row>
    <row r="40" spans="1:16" x14ac:dyDescent="0.25">
      <c r="L40" s="1">
        <f t="shared" si="0"/>
        <v>0</v>
      </c>
      <c r="N40" s="6" t="str">
        <f>IF(ISERROR(VLOOKUP($A40,'Plano de Contas'!#REF!,8,FALSE)),"",VLOOKUP($A40,'Plano de Contas'!#REF!,8,FALSE))</f>
        <v/>
      </c>
      <c r="P40" s="6" t="str">
        <f>IF(ISERROR(VLOOKUP($A40,'Plano de Contas'!#REF!,10,FALSE)),"",VLOOKUP($A40,'Plano de Contas'!#REF!,10,FALSE))</f>
        <v/>
      </c>
    </row>
    <row r="41" spans="1:16" x14ac:dyDescent="0.25">
      <c r="A41" t="s">
        <v>88</v>
      </c>
      <c r="B41">
        <v>17</v>
      </c>
      <c r="C41" t="s">
        <v>89</v>
      </c>
      <c r="D41" s="10">
        <v>71219839.390000001</v>
      </c>
      <c r="F41" s="10">
        <v>4258074.12</v>
      </c>
      <c r="H41" s="10">
        <v>16398643.869999999</v>
      </c>
      <c r="I41" t="s">
        <v>35</v>
      </c>
      <c r="J41" s="10">
        <v>59079269.640000001</v>
      </c>
      <c r="L41" s="1">
        <f t="shared" si="0"/>
        <v>59079269.640000001</v>
      </c>
      <c r="N41" s="6" t="str">
        <f>IF(ISERROR(VLOOKUP($A41,'Plano de Contas'!#REF!,8,FALSE)),"",VLOOKUP($A41,'Plano de Contas'!#REF!,8,FALSE))</f>
        <v/>
      </c>
      <c r="P41" s="6" t="str">
        <f>IF(ISERROR(VLOOKUP($A41,'Plano de Contas'!#REF!,10,FALSE)),"",VLOOKUP($A41,'Plano de Contas'!#REF!,10,FALSE))</f>
        <v/>
      </c>
    </row>
    <row r="42" spans="1:16" x14ac:dyDescent="0.25">
      <c r="A42" t="s">
        <v>989</v>
      </c>
      <c r="B42">
        <v>729</v>
      </c>
      <c r="C42" t="s">
        <v>990</v>
      </c>
      <c r="D42" s="10">
        <v>288775.32</v>
      </c>
      <c r="F42" s="10">
        <v>1156493.77</v>
      </c>
      <c r="H42" s="10">
        <v>1046.07</v>
      </c>
      <c r="I42" t="s">
        <v>35</v>
      </c>
      <c r="J42" s="10">
        <v>1444223.02</v>
      </c>
      <c r="L42" s="1">
        <f t="shared" si="0"/>
        <v>1444223.02</v>
      </c>
      <c r="N42" s="6" t="str">
        <f>IF(ISERROR(VLOOKUP($A42,'Plano de Contas'!#REF!,8,FALSE)),"",VLOOKUP($A42,'Plano de Contas'!#REF!,8,FALSE))</f>
        <v/>
      </c>
      <c r="P42" s="6" t="str">
        <f>IF(ISERROR(VLOOKUP($A42,'Plano de Contas'!#REF!,10,FALSE)),"",VLOOKUP($A42,'Plano de Contas'!#REF!,10,FALSE))</f>
        <v/>
      </c>
    </row>
    <row r="43" spans="1:16" x14ac:dyDescent="0.25">
      <c r="A43" t="s">
        <v>92</v>
      </c>
      <c r="B43">
        <v>738</v>
      </c>
      <c r="C43" t="s">
        <v>93</v>
      </c>
      <c r="D43" s="10">
        <v>43271.15</v>
      </c>
      <c r="F43">
        <v>420.96</v>
      </c>
      <c r="H43">
        <v>73.67</v>
      </c>
      <c r="I43" t="s">
        <v>35</v>
      </c>
      <c r="J43" s="10">
        <v>43618.44</v>
      </c>
      <c r="L43" s="1">
        <f t="shared" si="0"/>
        <v>43618.44</v>
      </c>
      <c r="N43" s="6" t="str">
        <f>IF(ISERROR(VLOOKUP($A43,'Plano de Contas'!#REF!,8,FALSE)),"",VLOOKUP($A43,'Plano de Contas'!#REF!,8,FALSE))</f>
        <v/>
      </c>
      <c r="P43" s="6" t="str">
        <f>IF(ISERROR(VLOOKUP($A43,'Plano de Contas'!#REF!,10,FALSE)),"",VLOOKUP($A43,'Plano de Contas'!#REF!,10,FALSE))</f>
        <v/>
      </c>
    </row>
    <row r="44" spans="1:16" x14ac:dyDescent="0.25">
      <c r="A44" t="s">
        <v>94</v>
      </c>
      <c r="B44">
        <v>740</v>
      </c>
      <c r="C44" t="s">
        <v>95</v>
      </c>
      <c r="D44" s="10">
        <v>8135210.04</v>
      </c>
      <c r="F44" s="10">
        <v>81215.56</v>
      </c>
      <c r="H44" s="10">
        <v>1930621.04</v>
      </c>
      <c r="I44" t="s">
        <v>35</v>
      </c>
      <c r="J44" s="10">
        <v>6285804.5599999996</v>
      </c>
      <c r="L44" s="1">
        <f t="shared" si="0"/>
        <v>6285804.5599999996</v>
      </c>
      <c r="N44" s="6" t="str">
        <f>IF(ISERROR(VLOOKUP($A44,'Plano de Contas'!#REF!,8,FALSE)),"",VLOOKUP($A44,'Plano de Contas'!#REF!,8,FALSE))</f>
        <v/>
      </c>
      <c r="P44" s="6" t="str">
        <f>IF(ISERROR(VLOOKUP($A44,'Plano de Contas'!#REF!,10,FALSE)),"",VLOOKUP($A44,'Plano de Contas'!#REF!,10,FALSE))</f>
        <v/>
      </c>
    </row>
    <row r="45" spans="1:16" x14ac:dyDescent="0.25">
      <c r="A45" t="s">
        <v>96</v>
      </c>
      <c r="B45">
        <v>748</v>
      </c>
      <c r="C45" t="s">
        <v>97</v>
      </c>
      <c r="D45" s="10">
        <v>306996.21000000002</v>
      </c>
      <c r="F45" s="10">
        <v>2830.62</v>
      </c>
      <c r="H45">
        <v>567.27</v>
      </c>
      <c r="I45" t="s">
        <v>35</v>
      </c>
      <c r="J45" s="10">
        <v>309259.56</v>
      </c>
      <c r="L45" s="1">
        <f t="shared" si="0"/>
        <v>309259.56</v>
      </c>
      <c r="N45" s="6" t="str">
        <f>IF(ISERROR(VLOOKUP($A45,'Plano de Contas'!#REF!,8,FALSE)),"",VLOOKUP($A45,'Plano de Contas'!#REF!,8,FALSE))</f>
        <v/>
      </c>
      <c r="P45" s="6" t="str">
        <f>IF(ISERROR(VLOOKUP($A45,'Plano de Contas'!#REF!,10,FALSE)),"",VLOOKUP($A45,'Plano de Contas'!#REF!,10,FALSE))</f>
        <v/>
      </c>
    </row>
    <row r="46" spans="1:16" x14ac:dyDescent="0.25">
      <c r="A46" t="s">
        <v>98</v>
      </c>
      <c r="B46">
        <v>768</v>
      </c>
      <c r="C46" t="s">
        <v>99</v>
      </c>
      <c r="D46" s="10">
        <v>3279.22</v>
      </c>
      <c r="F46">
        <v>80.41</v>
      </c>
      <c r="H46">
        <v>0</v>
      </c>
      <c r="J46" s="10">
        <v>3359.63</v>
      </c>
      <c r="L46" s="48">
        <f t="shared" si="0"/>
        <v>3359.63</v>
      </c>
      <c r="N46" s="6" t="str">
        <f>IF(ISERROR(VLOOKUP($A46,'Plano de Contas'!#REF!,8,FALSE)),"",VLOOKUP($A46,'Plano de Contas'!#REF!,8,FALSE))</f>
        <v/>
      </c>
      <c r="P46" s="6" t="str">
        <f>IF(ISERROR(VLOOKUP($A46,'Plano de Contas'!#REF!,10,FALSE)),"",VLOOKUP($A46,'Plano de Contas'!#REF!,10,FALSE))</f>
        <v/>
      </c>
    </row>
    <row r="47" spans="1:16" x14ac:dyDescent="0.25">
      <c r="A47" t="s">
        <v>100</v>
      </c>
      <c r="B47">
        <v>779</v>
      </c>
      <c r="C47" t="s">
        <v>101</v>
      </c>
      <c r="D47" s="10">
        <v>40146.17</v>
      </c>
      <c r="F47">
        <v>390.56</v>
      </c>
      <c r="H47">
        <v>68.349999999999994</v>
      </c>
      <c r="I47" t="s">
        <v>35</v>
      </c>
      <c r="J47" s="10">
        <v>40468.379999999997</v>
      </c>
      <c r="L47" s="48">
        <f t="shared" si="0"/>
        <v>40468.379999999997</v>
      </c>
      <c r="N47" s="6" t="str">
        <f>IF(ISERROR(VLOOKUP($A47,'Plano de Contas'!#REF!,8,FALSE)),"",VLOOKUP($A47,'Plano de Contas'!#REF!,8,FALSE))</f>
        <v/>
      </c>
      <c r="P47" s="6" t="str">
        <f>IF(ISERROR(VLOOKUP($A47,'Plano de Contas'!#REF!,10,FALSE)),"",VLOOKUP($A47,'Plano de Contas'!#REF!,10,FALSE))</f>
        <v/>
      </c>
    </row>
    <row r="48" spans="1:16" x14ac:dyDescent="0.25">
      <c r="A48" t="s">
        <v>102</v>
      </c>
      <c r="B48">
        <v>916</v>
      </c>
      <c r="C48" t="s">
        <v>103</v>
      </c>
      <c r="D48" s="10">
        <v>12255982.23</v>
      </c>
      <c r="F48" s="10">
        <v>108329.60000000001</v>
      </c>
      <c r="H48" s="10">
        <v>1434908.76</v>
      </c>
      <c r="I48" t="s">
        <v>35</v>
      </c>
      <c r="J48" s="10">
        <v>10929403.07</v>
      </c>
      <c r="L48" s="1">
        <f t="shared" si="0"/>
        <v>10929403.07</v>
      </c>
      <c r="N48" s="6" t="str">
        <f>IF(ISERROR(VLOOKUP($A48,'Plano de Contas'!#REF!,8,FALSE)),"",VLOOKUP($A48,'Plano de Contas'!#REF!,8,FALSE))</f>
        <v/>
      </c>
      <c r="P48" s="6" t="str">
        <f>IF(ISERROR(VLOOKUP($A48,'Plano de Contas'!#REF!,10,FALSE)),"",VLOOKUP($A48,'Plano de Contas'!#REF!,10,FALSE))</f>
        <v/>
      </c>
    </row>
    <row r="49" spans="1:16" x14ac:dyDescent="0.25">
      <c r="A49" t="s">
        <v>104</v>
      </c>
      <c r="B49">
        <v>917</v>
      </c>
      <c r="C49" t="s">
        <v>105</v>
      </c>
      <c r="D49" s="10">
        <v>538956.41</v>
      </c>
      <c r="F49" s="10">
        <v>4731.72</v>
      </c>
      <c r="H49" s="10">
        <v>543688.13</v>
      </c>
      <c r="I49" t="s">
        <v>35</v>
      </c>
      <c r="J49">
        <v>0</v>
      </c>
      <c r="L49" s="1">
        <f t="shared" si="0"/>
        <v>0</v>
      </c>
      <c r="N49" s="6" t="str">
        <f>IF(ISERROR(VLOOKUP($A49,'Plano de Contas'!#REF!,8,FALSE)),"",VLOOKUP($A49,'Plano de Contas'!#REF!,8,FALSE))</f>
        <v/>
      </c>
      <c r="P49" s="6" t="str">
        <f>IF(ISERROR(VLOOKUP($A49,'Plano de Contas'!#REF!,10,FALSE)),"",VLOOKUP($A49,'Plano de Contas'!#REF!,10,FALSE))</f>
        <v/>
      </c>
    </row>
    <row r="50" spans="1:16" x14ac:dyDescent="0.25">
      <c r="A50" t="s">
        <v>106</v>
      </c>
      <c r="B50">
        <v>946</v>
      </c>
      <c r="C50" t="s">
        <v>107</v>
      </c>
      <c r="D50" s="10">
        <v>20806922.59</v>
      </c>
      <c r="F50" s="10">
        <v>194613.16</v>
      </c>
      <c r="H50" s="10">
        <v>39546.43</v>
      </c>
      <c r="I50" t="s">
        <v>35</v>
      </c>
      <c r="J50" s="10">
        <v>20961989.32</v>
      </c>
      <c r="L50" s="48">
        <f t="shared" si="0"/>
        <v>20961989.32</v>
      </c>
      <c r="N50" s="6" t="str">
        <f>IF(ISERROR(VLOOKUP($A50,'Plano de Contas'!#REF!,8,FALSE)),"",VLOOKUP($A50,'Plano de Contas'!#REF!,8,FALSE))</f>
        <v/>
      </c>
      <c r="P50" s="6" t="str">
        <f>IF(ISERROR(VLOOKUP($A50,'Plano de Contas'!#REF!,10,FALSE)),"",VLOOKUP($A50,'Plano de Contas'!#REF!,10,FALSE))</f>
        <v/>
      </c>
    </row>
    <row r="51" spans="1:16" x14ac:dyDescent="0.25">
      <c r="A51" t="s">
        <v>108</v>
      </c>
      <c r="B51">
        <v>959</v>
      </c>
      <c r="C51" t="s">
        <v>109</v>
      </c>
      <c r="D51">
        <v>872.65</v>
      </c>
      <c r="F51">
        <v>8.1199999999999992</v>
      </c>
      <c r="H51">
        <v>0</v>
      </c>
      <c r="J51">
        <v>880.77</v>
      </c>
      <c r="L51" s="1">
        <f t="shared" si="0"/>
        <v>880.77</v>
      </c>
      <c r="N51" s="6" t="str">
        <f>IF(ISERROR(VLOOKUP($A51,'Plano de Contas'!#REF!,8,FALSE)),"",VLOOKUP($A51,'Plano de Contas'!#REF!,8,FALSE))</f>
        <v/>
      </c>
      <c r="P51" s="6" t="str">
        <f>IF(ISERROR(VLOOKUP($A51,'Plano de Contas'!#REF!,10,FALSE)),"",VLOOKUP($A51,'Plano de Contas'!#REF!,10,FALSE))</f>
        <v/>
      </c>
    </row>
    <row r="52" spans="1:16" x14ac:dyDescent="0.25">
      <c r="A52" t="s">
        <v>991</v>
      </c>
      <c r="B52">
        <v>966</v>
      </c>
      <c r="C52" t="s">
        <v>992</v>
      </c>
      <c r="D52" s="10">
        <v>10785491.23</v>
      </c>
      <c r="F52" s="10">
        <v>71688.37</v>
      </c>
      <c r="H52" s="10">
        <v>5857399.4299999997</v>
      </c>
      <c r="I52" t="s">
        <v>35</v>
      </c>
      <c r="J52" s="10">
        <v>4999780.17</v>
      </c>
      <c r="L52" s="1">
        <f t="shared" si="0"/>
        <v>4999780.17</v>
      </c>
      <c r="N52" s="6" t="str">
        <f>IF(ISERROR(VLOOKUP($A52,'Plano de Contas'!#REF!,8,FALSE)),"",VLOOKUP($A52,'Plano de Contas'!#REF!,8,FALSE))</f>
        <v/>
      </c>
      <c r="P52" s="6" t="str">
        <f>IF(ISERROR(VLOOKUP($A52,'Plano de Contas'!#REF!,10,FALSE)),"",VLOOKUP($A52,'Plano de Contas'!#REF!,10,FALSE))</f>
        <v/>
      </c>
    </row>
    <row r="53" spans="1:16" x14ac:dyDescent="0.25">
      <c r="A53" t="s">
        <v>993</v>
      </c>
      <c r="B53">
        <v>975</v>
      </c>
      <c r="C53" t="s">
        <v>994</v>
      </c>
      <c r="D53" s="10">
        <v>18013936.170000002</v>
      </c>
      <c r="F53" s="10">
        <v>2637271.27</v>
      </c>
      <c r="H53" s="10">
        <v>6590724.7199999997</v>
      </c>
      <c r="I53" t="s">
        <v>35</v>
      </c>
      <c r="J53" s="10">
        <v>14060482.720000001</v>
      </c>
      <c r="L53" s="48">
        <f t="shared" si="0"/>
        <v>14060482.720000001</v>
      </c>
      <c r="N53" s="6" t="str">
        <f>IF(ISERROR(VLOOKUP($A53,'Plano de Contas'!#REF!,8,FALSE)),"",VLOOKUP($A53,'Plano de Contas'!#REF!,8,FALSE))</f>
        <v/>
      </c>
      <c r="P53" s="6" t="str">
        <f>IF(ISERROR(VLOOKUP($A53,'Plano de Contas'!#REF!,10,FALSE)),"",VLOOKUP($A53,'Plano de Contas'!#REF!,10,FALSE))</f>
        <v/>
      </c>
    </row>
    <row r="54" spans="1:16" x14ac:dyDescent="0.25">
      <c r="L54" s="48">
        <f t="shared" si="0"/>
        <v>0</v>
      </c>
      <c r="N54" s="6" t="str">
        <f>IF(ISERROR(VLOOKUP($A54,'Plano de Contas'!#REF!,8,FALSE)),"",VLOOKUP($A54,'Plano de Contas'!#REF!,8,FALSE))</f>
        <v/>
      </c>
      <c r="P54" s="6" t="str">
        <f>IF(ISERROR(VLOOKUP($A54,'Plano de Contas'!#REF!,10,FALSE)),"",VLOOKUP($A54,'Plano de Contas'!#REF!,10,FALSE))</f>
        <v/>
      </c>
    </row>
    <row r="55" spans="1:16" x14ac:dyDescent="0.25">
      <c r="A55" t="s">
        <v>110</v>
      </c>
      <c r="B55">
        <v>28</v>
      </c>
      <c r="C55" t="s">
        <v>111</v>
      </c>
      <c r="D55" s="10">
        <v>44591889.829999998</v>
      </c>
      <c r="F55" s="10">
        <v>15488128.9</v>
      </c>
      <c r="H55" s="10">
        <v>19939622.27</v>
      </c>
      <c r="I55" t="s">
        <v>35</v>
      </c>
      <c r="J55" s="10">
        <v>40140396.460000001</v>
      </c>
      <c r="L55" s="48">
        <f t="shared" si="0"/>
        <v>40140396.460000001</v>
      </c>
      <c r="N55" s="6" t="str">
        <f>IF(ISERROR(VLOOKUP($A55,'Plano de Contas'!#REF!,8,FALSE)),"",VLOOKUP($A55,'Plano de Contas'!#REF!,8,FALSE))</f>
        <v/>
      </c>
      <c r="P55" s="6" t="str">
        <f>IF(ISERROR(VLOOKUP($A55,'Plano de Contas'!#REF!,10,FALSE)),"",VLOOKUP($A55,'Plano de Contas'!#REF!,10,FALSE))</f>
        <v/>
      </c>
    </row>
    <row r="56" spans="1:16" x14ac:dyDescent="0.25">
      <c r="L56" s="48">
        <f t="shared" si="0"/>
        <v>0</v>
      </c>
      <c r="N56" s="6" t="str">
        <f>IF(ISERROR(VLOOKUP($A56,'Plano de Contas'!#REF!,8,FALSE)),"",VLOOKUP($A56,'Plano de Contas'!#REF!,8,FALSE))</f>
        <v/>
      </c>
      <c r="P56" s="6" t="str">
        <f>IF(ISERROR(VLOOKUP($A56,'Plano de Contas'!#REF!,10,FALSE)),"",VLOOKUP($A56,'Plano de Contas'!#REF!,10,FALSE))</f>
        <v/>
      </c>
    </row>
    <row r="57" spans="1:16" x14ac:dyDescent="0.25">
      <c r="A57" t="s">
        <v>112</v>
      </c>
      <c r="B57">
        <v>29</v>
      </c>
      <c r="C57" t="s">
        <v>113</v>
      </c>
      <c r="D57" s="10">
        <v>7299218.9800000004</v>
      </c>
      <c r="F57" s="10">
        <v>10677214.59</v>
      </c>
      <c r="H57" s="10">
        <v>15480266.869999999</v>
      </c>
      <c r="I57" t="s">
        <v>35</v>
      </c>
      <c r="J57" s="10">
        <v>2496166.7000000002</v>
      </c>
      <c r="L57" s="48">
        <f t="shared" si="0"/>
        <v>2496166.7000000002</v>
      </c>
      <c r="N57" s="6" t="str">
        <f>IF(ISERROR(VLOOKUP($A57,'Plano de Contas'!#REF!,8,FALSE)),"",VLOOKUP($A57,'Plano de Contas'!#REF!,8,FALSE))</f>
        <v/>
      </c>
      <c r="P57" s="6" t="str">
        <f>IF(ISERROR(VLOOKUP($A57,'Plano de Contas'!#REF!,10,FALSE)),"",VLOOKUP($A57,'Plano de Contas'!#REF!,10,FALSE))</f>
        <v/>
      </c>
    </row>
    <row r="58" spans="1:16" x14ac:dyDescent="0.25">
      <c r="A58" t="s">
        <v>114</v>
      </c>
      <c r="B58">
        <v>30</v>
      </c>
      <c r="C58" t="s">
        <v>115</v>
      </c>
      <c r="D58" s="10">
        <v>9467324.6300000008</v>
      </c>
      <c r="F58" s="10">
        <v>9292340.4499999993</v>
      </c>
      <c r="H58" s="10">
        <v>14062597.109999999</v>
      </c>
      <c r="I58" t="s">
        <v>35</v>
      </c>
      <c r="J58" s="10">
        <v>4697067.97</v>
      </c>
      <c r="L58" s="1">
        <f t="shared" si="0"/>
        <v>4697067.97</v>
      </c>
      <c r="N58" s="6" t="str">
        <f>IF(ISERROR(VLOOKUP($A58,'Plano de Contas'!#REF!,8,FALSE)),"",VLOOKUP($A58,'Plano de Contas'!#REF!,8,FALSE))</f>
        <v/>
      </c>
      <c r="P58" s="6" t="str">
        <f>IF(ISERROR(VLOOKUP($A58,'Plano de Contas'!#REF!,10,FALSE)),"",VLOOKUP($A58,'Plano de Contas'!#REF!,10,FALSE))</f>
        <v/>
      </c>
    </row>
    <row r="59" spans="1:16" x14ac:dyDescent="0.25">
      <c r="A59" t="s">
        <v>995</v>
      </c>
      <c r="B59">
        <v>1034</v>
      </c>
      <c r="C59" t="s">
        <v>996</v>
      </c>
      <c r="D59">
        <v>0</v>
      </c>
      <c r="F59">
        <v>0</v>
      </c>
      <c r="H59" s="10">
        <v>1417669.76</v>
      </c>
      <c r="J59" s="10">
        <v>1417669.76</v>
      </c>
      <c r="K59" t="s">
        <v>35</v>
      </c>
      <c r="L59" s="1">
        <f t="shared" si="0"/>
        <v>-1417669.76</v>
      </c>
      <c r="N59" s="6" t="str">
        <f>IF(ISERROR(VLOOKUP($A59,'Plano de Contas'!#REF!,8,FALSE)),"",VLOOKUP($A59,'Plano de Contas'!#REF!,8,FALSE))</f>
        <v/>
      </c>
      <c r="P59" s="6" t="str">
        <f>IF(ISERROR(VLOOKUP($A59,'Plano de Contas'!#REF!,10,FALSE)),"",VLOOKUP($A59,'Plano de Contas'!#REF!,10,FALSE))</f>
        <v/>
      </c>
    </row>
    <row r="60" spans="1:16" x14ac:dyDescent="0.25">
      <c r="A60" t="s">
        <v>116</v>
      </c>
      <c r="B60">
        <v>31</v>
      </c>
      <c r="C60" t="s">
        <v>117</v>
      </c>
      <c r="D60" s="10">
        <v>-2168105.65</v>
      </c>
      <c r="F60" s="10">
        <v>1384874.14</v>
      </c>
      <c r="H60">
        <v>0</v>
      </c>
      <c r="J60" s="10">
        <v>783231.51</v>
      </c>
      <c r="K60" t="s">
        <v>35</v>
      </c>
      <c r="L60" s="49">
        <f t="shared" si="0"/>
        <v>-783231.51</v>
      </c>
      <c r="N60" s="6" t="str">
        <f>IF(ISERROR(VLOOKUP($A60,'Plano de Contas'!#REF!,8,FALSE)),"",VLOOKUP($A60,'Plano de Contas'!#REF!,8,FALSE))</f>
        <v/>
      </c>
      <c r="P60" s="6" t="str">
        <f>IF(ISERROR(VLOOKUP($A60,'Plano de Contas'!#REF!,10,FALSE)),"",VLOOKUP($A60,'Plano de Contas'!#REF!,10,FALSE))</f>
        <v/>
      </c>
    </row>
    <row r="61" spans="1:16" x14ac:dyDescent="0.25">
      <c r="L61" s="49">
        <f t="shared" si="0"/>
        <v>0</v>
      </c>
      <c r="N61" s="6" t="str">
        <f>IF(ISERROR(VLOOKUP($A61,'Plano de Contas'!#REF!,8,FALSE)),"",VLOOKUP($A61,'Plano de Contas'!#REF!,8,FALSE))</f>
        <v/>
      </c>
      <c r="P61" s="6" t="str">
        <f>IF(ISERROR(VLOOKUP($A61,'Plano de Contas'!#REF!,10,FALSE)),"",VLOOKUP($A61,'Plano de Contas'!#REF!,10,FALSE))</f>
        <v/>
      </c>
    </row>
    <row r="62" spans="1:16" x14ac:dyDescent="0.25">
      <c r="A62" t="s">
        <v>118</v>
      </c>
      <c r="B62">
        <v>32</v>
      </c>
      <c r="C62" t="s">
        <v>119</v>
      </c>
      <c r="D62" s="10">
        <v>42075.76</v>
      </c>
      <c r="F62">
        <v>0</v>
      </c>
      <c r="H62">
        <v>0</v>
      </c>
      <c r="J62" s="10">
        <v>42075.76</v>
      </c>
      <c r="L62" s="49">
        <f t="shared" si="0"/>
        <v>42075.76</v>
      </c>
      <c r="N62" s="6" t="str">
        <f>IF(ISERROR(VLOOKUP($A62,'Plano de Contas'!#REF!,8,FALSE)),"",VLOOKUP($A62,'Plano de Contas'!#REF!,8,FALSE))</f>
        <v/>
      </c>
      <c r="P62" s="6" t="str">
        <f>IF(ISERROR(VLOOKUP($A62,'Plano de Contas'!#REF!,10,FALSE)),"",VLOOKUP($A62,'Plano de Contas'!#REF!,10,FALSE))</f>
        <v/>
      </c>
    </row>
    <row r="63" spans="1:16" x14ac:dyDescent="0.25">
      <c r="A63" t="s">
        <v>120</v>
      </c>
      <c r="B63">
        <v>33</v>
      </c>
      <c r="C63" t="s">
        <v>121</v>
      </c>
      <c r="D63" s="10">
        <v>42075.76</v>
      </c>
      <c r="F63">
        <v>0</v>
      </c>
      <c r="H63">
        <v>0</v>
      </c>
      <c r="J63" s="10">
        <v>42075.76</v>
      </c>
      <c r="L63" s="49">
        <f t="shared" si="0"/>
        <v>42075.76</v>
      </c>
      <c r="N63" s="6" t="str">
        <f>IF(ISERROR(VLOOKUP($A63,'Plano de Contas'!#REF!,8,FALSE)),"",VLOOKUP($A63,'Plano de Contas'!#REF!,8,FALSE))</f>
        <v/>
      </c>
      <c r="P63" s="6" t="str">
        <f>IF(ISERROR(VLOOKUP($A63,'Plano de Contas'!#REF!,10,FALSE)),"",VLOOKUP($A63,'Plano de Contas'!#REF!,10,FALSE))</f>
        <v/>
      </c>
    </row>
    <row r="64" spans="1:16" x14ac:dyDescent="0.25">
      <c r="L64" s="49">
        <f t="shared" si="0"/>
        <v>0</v>
      </c>
      <c r="N64" s="6" t="str">
        <f>IF(ISERROR(VLOOKUP($A64,'Plano de Contas'!#REF!,8,FALSE)),"",VLOOKUP($A64,'Plano de Contas'!#REF!,8,FALSE))</f>
        <v/>
      </c>
      <c r="P64" s="6" t="str">
        <f>IF(ISERROR(VLOOKUP($A64,'Plano de Contas'!#REF!,10,FALSE)),"",VLOOKUP($A64,'Plano de Contas'!#REF!,10,FALSE))</f>
        <v/>
      </c>
    </row>
    <row r="65" spans="1:16" x14ac:dyDescent="0.25">
      <c r="A65" t="s">
        <v>122</v>
      </c>
      <c r="B65">
        <v>34</v>
      </c>
      <c r="C65" t="s">
        <v>123</v>
      </c>
      <c r="D65" s="10">
        <v>419022.99</v>
      </c>
      <c r="F65" s="10">
        <v>242397.81</v>
      </c>
      <c r="H65" s="10">
        <v>227080.09</v>
      </c>
      <c r="I65" t="s">
        <v>35</v>
      </c>
      <c r="J65" s="10">
        <v>434340.71</v>
      </c>
      <c r="L65" s="48">
        <f t="shared" si="0"/>
        <v>434340.71</v>
      </c>
      <c r="N65" s="6" t="str">
        <f>IF(ISERROR(VLOOKUP($A65,'Plano de Contas'!#REF!,8,FALSE)),"",VLOOKUP($A65,'Plano de Contas'!#REF!,8,FALSE))</f>
        <v/>
      </c>
      <c r="P65" s="6" t="str">
        <f>IF(ISERROR(VLOOKUP($A65,'Plano de Contas'!#REF!,10,FALSE)),"",VLOOKUP($A65,'Plano de Contas'!#REF!,10,FALSE))</f>
        <v/>
      </c>
    </row>
    <row r="66" spans="1:16" x14ac:dyDescent="0.25">
      <c r="A66" t="s">
        <v>124</v>
      </c>
      <c r="B66">
        <v>35</v>
      </c>
      <c r="C66" t="s">
        <v>125</v>
      </c>
      <c r="D66" s="10">
        <v>218735.82</v>
      </c>
      <c r="F66" s="10">
        <v>59145</v>
      </c>
      <c r="H66" s="10">
        <v>38710.29</v>
      </c>
      <c r="I66" t="s">
        <v>35</v>
      </c>
      <c r="J66" s="10">
        <v>239170.53</v>
      </c>
      <c r="L66" s="49">
        <f t="shared" si="0"/>
        <v>239170.53</v>
      </c>
      <c r="N66" s="6" t="str">
        <f>IF(ISERROR(VLOOKUP($A66,'Plano de Contas'!#REF!,8,FALSE)),"",VLOOKUP($A66,'Plano de Contas'!#REF!,8,FALSE))</f>
        <v/>
      </c>
      <c r="P66" s="6" t="str">
        <f>IF(ISERROR(VLOOKUP($A66,'Plano de Contas'!#REF!,10,FALSE)),"",VLOOKUP($A66,'Plano de Contas'!#REF!,10,FALSE))</f>
        <v/>
      </c>
    </row>
    <row r="67" spans="1:16" x14ac:dyDescent="0.25">
      <c r="A67" t="s">
        <v>126</v>
      </c>
      <c r="B67">
        <v>36</v>
      </c>
      <c r="C67" t="s">
        <v>127</v>
      </c>
      <c r="D67" s="10">
        <v>171783.55</v>
      </c>
      <c r="F67" s="10">
        <v>182774.55</v>
      </c>
      <c r="H67" s="10">
        <v>188369.8</v>
      </c>
      <c r="J67" s="10">
        <v>166188.29999999999</v>
      </c>
      <c r="L67" s="49">
        <f t="shared" si="0"/>
        <v>166188.29999999999</v>
      </c>
      <c r="N67" s="6" t="str">
        <f>IF(ISERROR(VLOOKUP($A67,'Plano de Contas'!#REF!,8,FALSE)),"",VLOOKUP($A67,'Plano de Contas'!#REF!,8,FALSE))</f>
        <v/>
      </c>
      <c r="P67" s="6" t="str">
        <f>IF(ISERROR(VLOOKUP($A67,'Plano de Contas'!#REF!,10,FALSE)),"",VLOOKUP($A67,'Plano de Contas'!#REF!,10,FALSE))</f>
        <v/>
      </c>
    </row>
    <row r="68" spans="1:16" x14ac:dyDescent="0.25">
      <c r="A68" t="s">
        <v>128</v>
      </c>
      <c r="B68">
        <v>38</v>
      </c>
      <c r="C68" t="s">
        <v>129</v>
      </c>
      <c r="D68" s="10">
        <v>6380</v>
      </c>
      <c r="F68">
        <v>0</v>
      </c>
      <c r="H68">
        <v>0</v>
      </c>
      <c r="J68" s="10">
        <v>6380</v>
      </c>
      <c r="L68" s="49">
        <f t="shared" si="0"/>
        <v>6380</v>
      </c>
      <c r="N68" s="6" t="str">
        <f>IF(ISERROR(VLOOKUP($A68,'Plano de Contas'!#REF!,8,FALSE)),"",VLOOKUP($A68,'Plano de Contas'!#REF!,8,FALSE))</f>
        <v/>
      </c>
      <c r="P68" s="6" t="str">
        <f>IF(ISERROR(VLOOKUP($A68,'Plano de Contas'!#REF!,10,FALSE)),"",VLOOKUP($A68,'Plano de Contas'!#REF!,10,FALSE))</f>
        <v/>
      </c>
    </row>
    <row r="69" spans="1:16" x14ac:dyDescent="0.25">
      <c r="A69" t="s">
        <v>130</v>
      </c>
      <c r="B69">
        <v>39</v>
      </c>
      <c r="C69" t="s">
        <v>131</v>
      </c>
      <c r="D69">
        <v>294.22000000000003</v>
      </c>
      <c r="F69">
        <v>0</v>
      </c>
      <c r="H69">
        <v>0</v>
      </c>
      <c r="J69">
        <v>294.22000000000003</v>
      </c>
      <c r="L69" s="49">
        <f t="shared" si="0"/>
        <v>294.22000000000003</v>
      </c>
      <c r="N69" s="6" t="str">
        <f>IF(ISERROR(VLOOKUP($A69,'Plano de Contas'!#REF!,8,FALSE)),"",VLOOKUP($A69,'Plano de Contas'!#REF!,8,FALSE))</f>
        <v/>
      </c>
      <c r="P69" s="6" t="str">
        <f>IF(ISERROR(VLOOKUP($A69,'Plano de Contas'!#REF!,10,FALSE)),"",VLOOKUP($A69,'Plano de Contas'!#REF!,10,FALSE))</f>
        <v/>
      </c>
    </row>
    <row r="70" spans="1:16" x14ac:dyDescent="0.25">
      <c r="A70" t="s">
        <v>132</v>
      </c>
      <c r="B70">
        <v>314</v>
      </c>
      <c r="C70" t="s">
        <v>133</v>
      </c>
      <c r="D70" s="10">
        <v>21829.4</v>
      </c>
      <c r="F70">
        <v>478.26</v>
      </c>
      <c r="H70">
        <v>0</v>
      </c>
      <c r="J70" s="10">
        <v>22307.66</v>
      </c>
      <c r="L70" s="49">
        <f t="shared" si="0"/>
        <v>22307.66</v>
      </c>
      <c r="N70" s="6" t="str">
        <f>IF(ISERROR(VLOOKUP($A70,'Plano de Contas'!#REF!,8,FALSE)),"",VLOOKUP($A70,'Plano de Contas'!#REF!,8,FALSE))</f>
        <v/>
      </c>
      <c r="P70" s="6" t="str">
        <f>IF(ISERROR(VLOOKUP($A70,'Plano de Contas'!#REF!,10,FALSE)),"",VLOOKUP($A70,'Plano de Contas'!#REF!,10,FALSE))</f>
        <v/>
      </c>
    </row>
    <row r="71" spans="1:16" x14ac:dyDescent="0.25">
      <c r="L71" s="49">
        <f t="shared" si="0"/>
        <v>0</v>
      </c>
      <c r="N71" s="6" t="str">
        <f>IF(ISERROR(VLOOKUP($A71,'Plano de Contas'!#REF!,8,FALSE)),"",VLOOKUP($A71,'Plano de Contas'!#REF!,8,FALSE))</f>
        <v/>
      </c>
      <c r="P71" s="6" t="str">
        <f>IF(ISERROR(VLOOKUP($A71,'Plano de Contas'!#REF!,10,FALSE)),"",VLOOKUP($A71,'Plano de Contas'!#REF!,10,FALSE))</f>
        <v/>
      </c>
    </row>
    <row r="72" spans="1:16" x14ac:dyDescent="0.25">
      <c r="A72" t="s">
        <v>134</v>
      </c>
      <c r="B72">
        <v>40</v>
      </c>
      <c r="C72" t="s">
        <v>135</v>
      </c>
      <c r="D72" s="10">
        <v>8514183.8599999994</v>
      </c>
      <c r="F72" s="10">
        <v>2206088.5099999998</v>
      </c>
      <c r="H72" s="10">
        <v>1442551.42</v>
      </c>
      <c r="I72" t="s">
        <v>35</v>
      </c>
      <c r="J72" s="10">
        <v>9277720.9499999993</v>
      </c>
      <c r="L72" s="49">
        <f t="shared" ref="L72:L135" si="1">IF(K72="-",-J72,J72)</f>
        <v>9277720.9499999993</v>
      </c>
      <c r="N72" s="6" t="str">
        <f>IF(ISERROR(VLOOKUP($A72,'Plano de Contas'!#REF!,8,FALSE)),"",VLOOKUP($A72,'Plano de Contas'!#REF!,8,FALSE))</f>
        <v/>
      </c>
      <c r="P72" s="6" t="str">
        <f>IF(ISERROR(VLOOKUP($A72,'Plano de Contas'!#REF!,10,FALSE)),"",VLOOKUP($A72,'Plano de Contas'!#REF!,10,FALSE))</f>
        <v/>
      </c>
    </row>
    <row r="73" spans="1:16" x14ac:dyDescent="0.25">
      <c r="A73" t="s">
        <v>136</v>
      </c>
      <c r="B73">
        <v>41</v>
      </c>
      <c r="C73" t="s">
        <v>137</v>
      </c>
      <c r="D73" s="10">
        <v>1352693.84</v>
      </c>
      <c r="F73" s="10">
        <v>172424.13</v>
      </c>
      <c r="H73">
        <v>0</v>
      </c>
      <c r="J73" s="10">
        <f>1525117.97</f>
        <v>1525117.97</v>
      </c>
      <c r="L73" s="49">
        <f t="shared" si="1"/>
        <v>1525117.97</v>
      </c>
      <c r="N73" s="6" t="str">
        <f>IF(ISERROR(VLOOKUP($A73,'Plano de Contas'!#REF!,8,FALSE)),"",VLOOKUP($A73,'Plano de Contas'!#REF!,8,FALSE))</f>
        <v/>
      </c>
      <c r="P73" s="6" t="str">
        <f>IF(ISERROR(VLOOKUP($A73,'Plano de Contas'!#REF!,10,FALSE)),"",VLOOKUP($A73,'Plano de Contas'!#REF!,10,FALSE))</f>
        <v/>
      </c>
    </row>
    <row r="74" spans="1:16" x14ac:dyDescent="0.25">
      <c r="A74" t="s">
        <v>138</v>
      </c>
      <c r="B74">
        <v>43</v>
      </c>
      <c r="C74" t="s">
        <v>139</v>
      </c>
      <c r="D74" s="10">
        <v>168665.64</v>
      </c>
      <c r="F74" s="10">
        <v>26913.81</v>
      </c>
      <c r="H74">
        <v>0</v>
      </c>
      <c r="J74" s="10">
        <v>195579.45</v>
      </c>
      <c r="L74" s="49">
        <f t="shared" si="1"/>
        <v>195579.45</v>
      </c>
      <c r="N74" s="6" t="str">
        <f>IF(ISERROR(VLOOKUP($A74,'Plano de Contas'!#REF!,8,FALSE)),"",VLOOKUP($A74,'Plano de Contas'!#REF!,8,FALSE))</f>
        <v/>
      </c>
      <c r="P74" s="6" t="str">
        <f>IF(ISERROR(VLOOKUP($A74,'Plano de Contas'!#REF!,10,FALSE)),"",VLOOKUP($A74,'Plano de Contas'!#REF!,10,FALSE))</f>
        <v/>
      </c>
    </row>
    <row r="75" spans="1:16" x14ac:dyDescent="0.25">
      <c r="A75" t="s">
        <v>140</v>
      </c>
      <c r="B75">
        <v>474</v>
      </c>
      <c r="C75" t="s">
        <v>141</v>
      </c>
      <c r="D75" s="10">
        <v>24143.3</v>
      </c>
      <c r="F75" s="10">
        <v>30497.61</v>
      </c>
      <c r="H75" s="10">
        <v>13128.89</v>
      </c>
      <c r="I75" t="s">
        <v>35</v>
      </c>
      <c r="J75" s="10">
        <v>41512.019999999997</v>
      </c>
      <c r="L75" s="49">
        <f t="shared" si="1"/>
        <v>41512.019999999997</v>
      </c>
      <c r="N75" s="6" t="str">
        <f>IF(ISERROR(VLOOKUP($A75,'Plano de Contas'!#REF!,8,FALSE)),"",VLOOKUP($A75,'Plano de Contas'!#REF!,8,FALSE))</f>
        <v/>
      </c>
      <c r="P75" s="6" t="str">
        <f>IF(ISERROR(VLOOKUP($A75,'Plano de Contas'!#REF!,10,FALSE)),"",VLOOKUP($A75,'Plano de Contas'!#REF!,10,FALSE))</f>
        <v/>
      </c>
    </row>
    <row r="76" spans="1:16" x14ac:dyDescent="0.25">
      <c r="A76" t="s">
        <v>142</v>
      </c>
      <c r="B76">
        <v>475</v>
      </c>
      <c r="C76" t="s">
        <v>143</v>
      </c>
      <c r="D76" s="10">
        <v>99677.16</v>
      </c>
      <c r="F76" s="10">
        <v>140758.24</v>
      </c>
      <c r="H76" s="10">
        <v>60594.87</v>
      </c>
      <c r="I76" t="s">
        <v>35</v>
      </c>
      <c r="J76" s="10">
        <v>179840.53</v>
      </c>
      <c r="L76" s="49">
        <f t="shared" si="1"/>
        <v>179840.53</v>
      </c>
      <c r="N76" s="6" t="str">
        <f>IF(ISERROR(VLOOKUP($A76,'Plano de Contas'!#REF!,8,FALSE)),"",VLOOKUP($A76,'Plano de Contas'!#REF!,8,FALSE))</f>
        <v/>
      </c>
      <c r="P76" s="6" t="str">
        <f>IF(ISERROR(VLOOKUP($A76,'Plano de Contas'!#REF!,10,FALSE)),"",VLOOKUP($A76,'Plano de Contas'!#REF!,10,FALSE))</f>
        <v/>
      </c>
    </row>
    <row r="77" spans="1:16" x14ac:dyDescent="0.25">
      <c r="A77" t="s">
        <v>144</v>
      </c>
      <c r="B77">
        <v>491</v>
      </c>
      <c r="C77" t="s">
        <v>145</v>
      </c>
      <c r="D77" s="10">
        <v>1096726.25</v>
      </c>
      <c r="F77" s="10">
        <v>225213.16</v>
      </c>
      <c r="H77">
        <v>0</v>
      </c>
      <c r="J77" s="10">
        <v>1321939.4099999999</v>
      </c>
      <c r="L77" s="49">
        <f t="shared" si="1"/>
        <v>1321939.4099999999</v>
      </c>
      <c r="N77" s="6" t="str">
        <f>IF(ISERROR(VLOOKUP($A77,'Plano de Contas'!#REF!,8,FALSE)),"",VLOOKUP($A77,'Plano de Contas'!#REF!,8,FALSE))</f>
        <v/>
      </c>
      <c r="P77" s="6" t="str">
        <f>IF(ISERROR(VLOOKUP($A77,'Plano de Contas'!#REF!,10,FALSE)),"",VLOOKUP($A77,'Plano de Contas'!#REF!,10,FALSE))</f>
        <v/>
      </c>
    </row>
    <row r="78" spans="1:16" x14ac:dyDescent="0.25">
      <c r="A78" t="s">
        <v>146</v>
      </c>
      <c r="B78">
        <v>493</v>
      </c>
      <c r="C78" t="s">
        <v>147</v>
      </c>
      <c r="D78">
        <v>357.79</v>
      </c>
      <c r="F78">
        <v>0</v>
      </c>
      <c r="H78">
        <v>0</v>
      </c>
      <c r="J78">
        <v>357.79</v>
      </c>
      <c r="L78" s="49">
        <f t="shared" si="1"/>
        <v>357.79</v>
      </c>
      <c r="N78" s="6" t="str">
        <f>IF(ISERROR(VLOOKUP($A78,'Plano de Contas'!#REF!,8,FALSE)),"",VLOOKUP($A78,'Plano de Contas'!#REF!,8,FALSE))</f>
        <v/>
      </c>
      <c r="P78" s="6" t="str">
        <f>IF(ISERROR(VLOOKUP($A78,'Plano de Contas'!#REF!,10,FALSE)),"",VLOOKUP($A78,'Plano de Contas'!#REF!,10,FALSE))</f>
        <v/>
      </c>
    </row>
    <row r="79" spans="1:16" x14ac:dyDescent="0.25">
      <c r="A79" t="s">
        <v>148</v>
      </c>
      <c r="B79">
        <v>501</v>
      </c>
      <c r="C79" t="s">
        <v>149</v>
      </c>
      <c r="D79" s="10">
        <v>229250.89</v>
      </c>
      <c r="F79" s="10">
        <v>46919.360000000001</v>
      </c>
      <c r="H79">
        <v>0</v>
      </c>
      <c r="J79" s="10">
        <v>276170.25</v>
      </c>
      <c r="L79" s="49">
        <f t="shared" si="1"/>
        <v>276170.25</v>
      </c>
      <c r="N79" s="6" t="str">
        <f>IF(ISERROR(VLOOKUP($A79,'Plano de Contas'!#REF!,8,FALSE)),"",VLOOKUP($A79,'Plano de Contas'!#REF!,8,FALSE))</f>
        <v/>
      </c>
      <c r="P79" s="6" t="str">
        <f>IF(ISERROR(VLOOKUP($A79,'Plano de Contas'!#REF!,10,FALSE)),"",VLOOKUP($A79,'Plano de Contas'!#REF!,10,FALSE))</f>
        <v/>
      </c>
    </row>
    <row r="80" spans="1:16" x14ac:dyDescent="0.25">
      <c r="A80" t="s">
        <v>150</v>
      </c>
      <c r="B80">
        <v>608</v>
      </c>
      <c r="C80" t="s">
        <v>151</v>
      </c>
      <c r="D80" s="10">
        <v>6202.73</v>
      </c>
      <c r="F80">
        <v>0</v>
      </c>
      <c r="H80" s="10">
        <v>6202.73</v>
      </c>
      <c r="I80" t="s">
        <v>35</v>
      </c>
      <c r="J80">
        <v>0</v>
      </c>
      <c r="L80" s="49">
        <f t="shared" si="1"/>
        <v>0</v>
      </c>
      <c r="N80" s="6" t="str">
        <f>IF(ISERROR(VLOOKUP($A80,'Plano de Contas'!#REF!,8,FALSE)),"",VLOOKUP($A80,'Plano de Contas'!#REF!,8,FALSE))</f>
        <v/>
      </c>
      <c r="P80" s="6" t="str">
        <f>IF(ISERROR(VLOOKUP($A80,'Plano de Contas'!#REF!,10,FALSE)),"",VLOOKUP($A80,'Plano de Contas'!#REF!,10,FALSE))</f>
        <v/>
      </c>
    </row>
    <row r="81" spans="1:16" x14ac:dyDescent="0.25">
      <c r="A81" t="s">
        <v>152</v>
      </c>
      <c r="B81">
        <v>609</v>
      </c>
      <c r="C81" t="s">
        <v>153</v>
      </c>
      <c r="D81" s="10">
        <v>24122.36</v>
      </c>
      <c r="F81">
        <v>0</v>
      </c>
      <c r="H81" s="10">
        <v>24122.36</v>
      </c>
      <c r="I81" t="s">
        <v>35</v>
      </c>
      <c r="J81">
        <v>0</v>
      </c>
      <c r="L81" s="49">
        <f t="shared" si="1"/>
        <v>0</v>
      </c>
      <c r="N81" s="6" t="str">
        <f>IF(ISERROR(VLOOKUP($A81,'Plano de Contas'!#REF!,8,FALSE)),"",VLOOKUP($A81,'Plano de Contas'!#REF!,8,FALSE))</f>
        <v/>
      </c>
      <c r="P81" s="6" t="str">
        <f>IF(ISERROR(VLOOKUP($A81,'Plano de Contas'!#REF!,10,FALSE)),"",VLOOKUP($A81,'Plano de Contas'!#REF!,10,FALSE))</f>
        <v/>
      </c>
    </row>
    <row r="82" spans="1:16" x14ac:dyDescent="0.25">
      <c r="A82" t="s">
        <v>154</v>
      </c>
      <c r="B82">
        <v>623</v>
      </c>
      <c r="C82" t="s">
        <v>155</v>
      </c>
      <c r="D82">
        <v>17.45</v>
      </c>
      <c r="F82">
        <v>0</v>
      </c>
      <c r="H82">
        <v>17.45</v>
      </c>
      <c r="I82" t="s">
        <v>35</v>
      </c>
      <c r="J82">
        <v>0</v>
      </c>
      <c r="L82" s="49">
        <f t="shared" si="1"/>
        <v>0</v>
      </c>
      <c r="N82" s="6" t="str">
        <f>IF(ISERROR(VLOOKUP($A82,'Plano de Contas'!#REF!,8,FALSE)),"",VLOOKUP($A82,'Plano de Contas'!#REF!,8,FALSE))</f>
        <v/>
      </c>
      <c r="P82" s="6" t="str">
        <f>IF(ISERROR(VLOOKUP($A82,'Plano de Contas'!#REF!,10,FALSE)),"",VLOOKUP($A82,'Plano de Contas'!#REF!,10,FALSE))</f>
        <v/>
      </c>
    </row>
    <row r="83" spans="1:16" x14ac:dyDescent="0.25">
      <c r="A83" t="s">
        <v>156</v>
      </c>
      <c r="B83">
        <v>631</v>
      </c>
      <c r="C83" t="s">
        <v>157</v>
      </c>
      <c r="D83" s="10">
        <v>22427.919999999998</v>
      </c>
      <c r="F83">
        <v>0</v>
      </c>
      <c r="H83" s="10">
        <v>22427.919999999998</v>
      </c>
      <c r="I83" t="s">
        <v>35</v>
      </c>
      <c r="J83">
        <v>0</v>
      </c>
      <c r="L83" s="49">
        <f t="shared" si="1"/>
        <v>0</v>
      </c>
      <c r="N83" s="6" t="str">
        <f>IF(ISERROR(VLOOKUP($A83,'Plano de Contas'!#REF!,8,FALSE)),"",VLOOKUP($A83,'Plano de Contas'!#REF!,8,FALSE))</f>
        <v/>
      </c>
      <c r="P83" s="6" t="str">
        <f>IF(ISERROR(VLOOKUP($A83,'Plano de Contas'!#REF!,10,FALSE)),"",VLOOKUP($A83,'Plano de Contas'!#REF!,10,FALSE))</f>
        <v/>
      </c>
    </row>
    <row r="84" spans="1:16" x14ac:dyDescent="0.25">
      <c r="A84" t="s">
        <v>158</v>
      </c>
      <c r="B84">
        <v>636</v>
      </c>
      <c r="C84" t="s">
        <v>159</v>
      </c>
      <c r="D84" s="10">
        <v>90292.57</v>
      </c>
      <c r="F84">
        <v>0</v>
      </c>
      <c r="H84">
        <v>0</v>
      </c>
      <c r="J84" s="10">
        <v>90292.57</v>
      </c>
      <c r="L84" s="1">
        <f t="shared" si="1"/>
        <v>90292.57</v>
      </c>
      <c r="N84" s="6" t="str">
        <f>IF(ISERROR(VLOOKUP($A84,'Plano de Contas'!#REF!,8,FALSE)),"",VLOOKUP($A84,'Plano de Contas'!#REF!,8,FALSE))</f>
        <v/>
      </c>
      <c r="P84" s="6" t="str">
        <f>IF(ISERROR(VLOOKUP($A84,'Plano de Contas'!#REF!,10,FALSE)),"",VLOOKUP($A84,'Plano de Contas'!#REF!,10,FALSE))</f>
        <v/>
      </c>
    </row>
    <row r="85" spans="1:16" x14ac:dyDescent="0.25">
      <c r="A85" t="s">
        <v>160</v>
      </c>
      <c r="B85">
        <v>635</v>
      </c>
      <c r="C85" t="s">
        <v>161</v>
      </c>
      <c r="D85" s="10">
        <v>301900.03000000003</v>
      </c>
      <c r="F85">
        <v>0</v>
      </c>
      <c r="H85" s="10">
        <v>275720.03000000003</v>
      </c>
      <c r="I85" t="s">
        <v>35</v>
      </c>
      <c r="J85" s="10">
        <v>26180</v>
      </c>
      <c r="L85" s="1">
        <f t="shared" si="1"/>
        <v>26180</v>
      </c>
      <c r="N85" s="6" t="str">
        <f>IF(ISERROR(VLOOKUP($A85,'Plano de Contas'!#REF!,8,FALSE)),"",VLOOKUP($A85,'Plano de Contas'!#REF!,8,FALSE))</f>
        <v/>
      </c>
      <c r="P85" s="6" t="str">
        <f>IF(ISERROR(VLOOKUP($A85,'Plano de Contas'!#REF!,10,FALSE)),"",VLOOKUP($A85,'Plano de Contas'!#REF!,10,FALSE))</f>
        <v/>
      </c>
    </row>
    <row r="86" spans="1:16" x14ac:dyDescent="0.25">
      <c r="A86" t="s">
        <v>162</v>
      </c>
      <c r="B86">
        <v>666</v>
      </c>
      <c r="C86" t="s">
        <v>163</v>
      </c>
      <c r="D86" s="10">
        <v>14699.97</v>
      </c>
      <c r="F86">
        <v>0</v>
      </c>
      <c r="H86" s="10">
        <v>14699.97</v>
      </c>
      <c r="I86" t="s">
        <v>35</v>
      </c>
      <c r="J86">
        <v>0</v>
      </c>
      <c r="L86" s="48">
        <f t="shared" si="1"/>
        <v>0</v>
      </c>
      <c r="N86" s="6" t="str">
        <f>IF(ISERROR(VLOOKUP($A86,'Plano de Contas'!#REF!,8,FALSE)),"",VLOOKUP($A86,'Plano de Contas'!#REF!,8,FALSE))</f>
        <v/>
      </c>
      <c r="P86" s="6" t="str">
        <f>IF(ISERROR(VLOOKUP($A86,'Plano de Contas'!#REF!,10,FALSE)),"",VLOOKUP($A86,'Plano de Contas'!#REF!,10,FALSE))</f>
        <v/>
      </c>
    </row>
    <row r="87" spans="1:16" x14ac:dyDescent="0.25">
      <c r="A87" t="s">
        <v>164</v>
      </c>
      <c r="B87">
        <v>667</v>
      </c>
      <c r="C87" t="s">
        <v>165</v>
      </c>
      <c r="D87" s="10">
        <v>32019.8</v>
      </c>
      <c r="F87">
        <v>0</v>
      </c>
      <c r="H87" s="10">
        <v>32019.8</v>
      </c>
      <c r="I87" t="s">
        <v>35</v>
      </c>
      <c r="J87">
        <v>0</v>
      </c>
      <c r="L87" s="48">
        <f t="shared" si="1"/>
        <v>0</v>
      </c>
      <c r="N87" s="6" t="str">
        <f>IF(ISERROR(VLOOKUP($A87,'Plano de Contas'!#REF!,8,FALSE)),"",VLOOKUP($A87,'Plano de Contas'!#REF!,8,FALSE))</f>
        <v/>
      </c>
      <c r="P87" s="6" t="str">
        <f>IF(ISERROR(VLOOKUP($A87,'Plano de Contas'!#REF!,10,FALSE)),"",VLOOKUP($A87,'Plano de Contas'!#REF!,10,FALSE))</f>
        <v/>
      </c>
    </row>
    <row r="88" spans="1:16" x14ac:dyDescent="0.25">
      <c r="A88" t="s">
        <v>166</v>
      </c>
      <c r="B88">
        <v>668</v>
      </c>
      <c r="C88" t="s">
        <v>167</v>
      </c>
      <c r="D88" s="10">
        <v>16533.349999999999</v>
      </c>
      <c r="F88">
        <v>0</v>
      </c>
      <c r="H88" s="10">
        <v>16533.349999999999</v>
      </c>
      <c r="I88" t="s">
        <v>35</v>
      </c>
      <c r="J88">
        <v>0</v>
      </c>
      <c r="L88" s="1">
        <f t="shared" si="1"/>
        <v>0</v>
      </c>
      <c r="N88" s="6" t="str">
        <f>IF(ISERROR(VLOOKUP($A88,'Plano de Contas'!#REF!,8,FALSE)),"",VLOOKUP($A88,'Plano de Contas'!#REF!,8,FALSE))</f>
        <v/>
      </c>
      <c r="P88" s="6" t="str">
        <f>IF(ISERROR(VLOOKUP($A88,'Plano de Contas'!#REF!,10,FALSE)),"",VLOOKUP($A88,'Plano de Contas'!#REF!,10,FALSE))</f>
        <v/>
      </c>
    </row>
    <row r="89" spans="1:16" x14ac:dyDescent="0.25">
      <c r="A89" t="s">
        <v>168</v>
      </c>
      <c r="B89">
        <v>683</v>
      </c>
      <c r="C89" t="s">
        <v>169</v>
      </c>
      <c r="D89" s="10">
        <v>380609.42</v>
      </c>
      <c r="F89">
        <v>0</v>
      </c>
      <c r="H89" s="10">
        <v>380609.42</v>
      </c>
      <c r="I89" t="s">
        <v>35</v>
      </c>
      <c r="J89">
        <v>0</v>
      </c>
      <c r="L89" s="1">
        <f t="shared" si="1"/>
        <v>0</v>
      </c>
      <c r="N89" s="6" t="str">
        <f>IF(ISERROR(VLOOKUP($A89,'Plano de Contas'!#REF!,8,FALSE)),"",VLOOKUP($A89,'Plano de Contas'!#REF!,8,FALSE))</f>
        <v/>
      </c>
      <c r="P89" s="6" t="str">
        <f>IF(ISERROR(VLOOKUP($A89,'Plano de Contas'!#REF!,10,FALSE)),"",VLOOKUP($A89,'Plano de Contas'!#REF!,10,FALSE))</f>
        <v/>
      </c>
    </row>
    <row r="90" spans="1:16" x14ac:dyDescent="0.25">
      <c r="A90" t="s">
        <v>170</v>
      </c>
      <c r="B90">
        <v>684</v>
      </c>
      <c r="C90" t="s">
        <v>171</v>
      </c>
      <c r="D90" s="10">
        <v>170707.11</v>
      </c>
      <c r="F90">
        <v>0</v>
      </c>
      <c r="H90" s="10">
        <v>170707.11</v>
      </c>
      <c r="I90" t="s">
        <v>35</v>
      </c>
      <c r="J90">
        <v>0</v>
      </c>
      <c r="L90" s="49">
        <f t="shared" si="1"/>
        <v>0</v>
      </c>
      <c r="N90" s="6" t="str">
        <f>IF(ISERROR(VLOOKUP($A90,'Plano de Contas'!#REF!,8,FALSE)),"",VLOOKUP($A90,'Plano de Contas'!#REF!,8,FALSE))</f>
        <v/>
      </c>
      <c r="P90" s="6" t="str">
        <f>IF(ISERROR(VLOOKUP($A90,'Plano de Contas'!#REF!,10,FALSE)),"",VLOOKUP($A90,'Plano de Contas'!#REF!,10,FALSE))</f>
        <v/>
      </c>
    </row>
    <row r="91" spans="1:16" x14ac:dyDescent="0.25">
      <c r="A91" t="s">
        <v>172</v>
      </c>
      <c r="B91">
        <v>717</v>
      </c>
      <c r="C91" t="s">
        <v>173</v>
      </c>
      <c r="D91" s="10">
        <v>1007.74</v>
      </c>
      <c r="F91">
        <v>0</v>
      </c>
      <c r="H91">
        <v>0</v>
      </c>
      <c r="J91" s="10">
        <v>1007.74</v>
      </c>
      <c r="L91" s="48">
        <f t="shared" si="1"/>
        <v>1007.74</v>
      </c>
      <c r="N91" s="6" t="str">
        <f>IF(ISERROR(VLOOKUP($A91,'Plano de Contas'!#REF!,8,FALSE)),"",VLOOKUP($A91,'Plano de Contas'!#REF!,8,FALSE))</f>
        <v/>
      </c>
      <c r="P91" s="6" t="str">
        <f>IF(ISERROR(VLOOKUP($A91,'Plano de Contas'!#REF!,10,FALSE)),"",VLOOKUP($A91,'Plano de Contas'!#REF!,10,FALSE))</f>
        <v/>
      </c>
    </row>
    <row r="92" spans="1:16" x14ac:dyDescent="0.25">
      <c r="A92" t="s">
        <v>174</v>
      </c>
      <c r="B92">
        <v>719</v>
      </c>
      <c r="C92" t="s">
        <v>997</v>
      </c>
      <c r="D92" s="10">
        <v>35717.19</v>
      </c>
      <c r="F92">
        <v>0</v>
      </c>
      <c r="H92">
        <v>0</v>
      </c>
      <c r="J92" s="10">
        <v>35717.19</v>
      </c>
      <c r="L92" s="49">
        <f t="shared" si="1"/>
        <v>35717.19</v>
      </c>
      <c r="N92" s="6" t="str">
        <f>IF(ISERROR(VLOOKUP($A92,'Plano de Contas'!#REF!,8,FALSE)),"",VLOOKUP($A92,'Plano de Contas'!#REF!,8,FALSE))</f>
        <v/>
      </c>
      <c r="P92" s="6" t="str">
        <f>IF(ISERROR(VLOOKUP($A92,'Plano de Contas'!#REF!,10,FALSE)),"",VLOOKUP($A92,'Plano de Contas'!#REF!,10,FALSE))</f>
        <v/>
      </c>
    </row>
    <row r="93" spans="1:16" x14ac:dyDescent="0.25">
      <c r="A93" t="s">
        <v>176</v>
      </c>
      <c r="B93">
        <v>720</v>
      </c>
      <c r="C93" t="s">
        <v>177</v>
      </c>
      <c r="D93" s="10">
        <v>3922.66</v>
      </c>
      <c r="F93">
        <v>0</v>
      </c>
      <c r="H93">
        <v>0</v>
      </c>
      <c r="J93" s="10">
        <v>3922.66</v>
      </c>
      <c r="L93" s="49">
        <f t="shared" si="1"/>
        <v>3922.66</v>
      </c>
      <c r="N93" s="6" t="str">
        <f>IF(ISERROR(VLOOKUP($A93,'Plano de Contas'!#REF!,8,FALSE)),"",VLOOKUP($A93,'Plano de Contas'!#REF!,8,FALSE))</f>
        <v/>
      </c>
      <c r="P93" s="6" t="str">
        <f>IF(ISERROR(VLOOKUP($A93,'Plano de Contas'!#REF!,10,FALSE)),"",VLOOKUP($A93,'Plano de Contas'!#REF!,10,FALSE))</f>
        <v/>
      </c>
    </row>
    <row r="94" spans="1:16" x14ac:dyDescent="0.25">
      <c r="A94" t="s">
        <v>178</v>
      </c>
      <c r="B94">
        <v>755</v>
      </c>
      <c r="C94" t="s">
        <v>179</v>
      </c>
      <c r="D94" s="10">
        <v>425767.52</v>
      </c>
      <c r="F94">
        <v>0</v>
      </c>
      <c r="H94" s="10">
        <v>425767.52</v>
      </c>
      <c r="I94" t="s">
        <v>35</v>
      </c>
      <c r="J94">
        <v>0</v>
      </c>
      <c r="L94" s="49">
        <f t="shared" si="1"/>
        <v>0</v>
      </c>
      <c r="N94" s="6" t="str">
        <f>IF(ISERROR(VLOOKUP($A94,'Plano de Contas'!#REF!,8,FALSE)),"",VLOOKUP($A94,'Plano de Contas'!#REF!,8,FALSE))</f>
        <v/>
      </c>
      <c r="P94" s="6" t="str">
        <f>IF(ISERROR(VLOOKUP($A94,'Plano de Contas'!#REF!,10,FALSE)),"",VLOOKUP($A94,'Plano de Contas'!#REF!,10,FALSE))</f>
        <v/>
      </c>
    </row>
    <row r="95" spans="1:16" x14ac:dyDescent="0.25">
      <c r="A95" t="s">
        <v>184</v>
      </c>
      <c r="B95">
        <v>961</v>
      </c>
      <c r="C95" t="s">
        <v>185</v>
      </c>
      <c r="D95" s="10">
        <v>3839.13</v>
      </c>
      <c r="F95">
        <v>0</v>
      </c>
      <c r="H95">
        <v>0</v>
      </c>
      <c r="J95" s="10">
        <v>3839.13</v>
      </c>
      <c r="L95" s="48">
        <f t="shared" si="1"/>
        <v>3839.13</v>
      </c>
      <c r="N95" s="6" t="str">
        <f>IF(ISERROR(VLOOKUP($A95,'Plano de Contas'!#REF!,8,FALSE)),"",VLOOKUP($A95,'Plano de Contas'!#REF!,8,FALSE))</f>
        <v/>
      </c>
      <c r="P95" s="6" t="str">
        <f>IF(ISERROR(VLOOKUP($A95,'Plano de Contas'!#REF!,10,FALSE)),"",VLOOKUP($A95,'Plano de Contas'!#REF!,10,FALSE))</f>
        <v/>
      </c>
    </row>
    <row r="96" spans="1:16" x14ac:dyDescent="0.25">
      <c r="A96" t="s">
        <v>998</v>
      </c>
      <c r="B96">
        <v>984</v>
      </c>
      <c r="C96" t="s">
        <v>999</v>
      </c>
      <c r="D96" s="10">
        <v>2769932.36</v>
      </c>
      <c r="F96" s="10">
        <v>781265.4</v>
      </c>
      <c r="H96">
        <v>0</v>
      </c>
      <c r="J96" s="10">
        <f>3551197.76-3016134.63</f>
        <v>535063.12999999989</v>
      </c>
      <c r="L96" s="49">
        <f t="shared" si="1"/>
        <v>535063.12999999989</v>
      </c>
      <c r="N96" s="6" t="str">
        <f>IF(ISERROR(VLOOKUP($A96,'Plano de Contas'!#REF!,8,FALSE)),"",VLOOKUP($A96,'Plano de Contas'!#REF!,8,FALSE))</f>
        <v/>
      </c>
      <c r="P96" s="6" t="str">
        <f>IF(ISERROR(VLOOKUP($A96,'Plano de Contas'!#REF!,10,FALSE)),"",VLOOKUP($A96,'Plano de Contas'!#REF!,10,FALSE))</f>
        <v/>
      </c>
    </row>
    <row r="97" spans="1:16" x14ac:dyDescent="0.25">
      <c r="A97" t="s">
        <v>1000</v>
      </c>
      <c r="B97">
        <v>985</v>
      </c>
      <c r="C97" t="s">
        <v>1001</v>
      </c>
      <c r="D97" s="10">
        <v>1225762.58</v>
      </c>
      <c r="F97" s="10">
        <v>403850.79</v>
      </c>
      <c r="H97">
        <v>0</v>
      </c>
      <c r="J97" s="10">
        <f>1629613.37-1094448.47</f>
        <v>535164.90000000014</v>
      </c>
      <c r="L97" s="1">
        <f t="shared" si="1"/>
        <v>535164.90000000014</v>
      </c>
      <c r="N97" s="6" t="str">
        <f>IF(ISERROR(VLOOKUP($A97,'Plano de Contas'!#REF!,8,FALSE)),"",VLOOKUP($A97,'Plano de Contas'!#REF!,8,FALSE))</f>
        <v/>
      </c>
      <c r="P97" s="6" t="str">
        <f>IF(ISERROR(VLOOKUP($A97,'Plano de Contas'!#REF!,10,FALSE)),"",VLOOKUP($A97,'Plano de Contas'!#REF!,10,FALSE))</f>
        <v/>
      </c>
    </row>
    <row r="98" spans="1:16" x14ac:dyDescent="0.25">
      <c r="A98" t="s">
        <v>1002</v>
      </c>
      <c r="B98">
        <v>1039</v>
      </c>
      <c r="C98" t="s">
        <v>1003</v>
      </c>
      <c r="D98" s="10">
        <v>1444.46</v>
      </c>
      <c r="F98" s="10">
        <v>67470.899999999994</v>
      </c>
      <c r="H98">
        <v>0</v>
      </c>
      <c r="J98" s="10">
        <v>68915.360000000001</v>
      </c>
      <c r="L98" s="62">
        <f t="shared" si="1"/>
        <v>68915.360000000001</v>
      </c>
      <c r="N98" s="6" t="str">
        <f>IF(ISERROR(VLOOKUP($A98,'Plano de Contas'!#REF!,8,FALSE)),"",VLOOKUP($A98,'Plano de Contas'!#REF!,8,FALSE))</f>
        <v/>
      </c>
      <c r="P98" s="6" t="str">
        <f>IF(ISERROR(VLOOKUP($A98,'Plano de Contas'!#REF!,10,FALSE)),"",VLOOKUP($A98,'Plano de Contas'!#REF!,10,FALSE))</f>
        <v/>
      </c>
    </row>
    <row r="99" spans="1:16" x14ac:dyDescent="0.25">
      <c r="A99" t="s">
        <v>1004</v>
      </c>
      <c r="B99">
        <v>1040</v>
      </c>
      <c r="C99" t="s">
        <v>1005</v>
      </c>
      <c r="D99" s="10">
        <v>15742.64</v>
      </c>
      <c r="F99" s="10">
        <v>310775.11</v>
      </c>
      <c r="H99">
        <v>0</v>
      </c>
      <c r="J99" s="10">
        <v>326517.75</v>
      </c>
      <c r="L99" s="62">
        <f t="shared" si="1"/>
        <v>326517.75</v>
      </c>
      <c r="N99" s="6" t="str">
        <f>IF(ISERROR(VLOOKUP($A99,'Plano de Contas'!#REF!,8,FALSE)),"",VLOOKUP($A99,'Plano de Contas'!#REF!,8,FALSE))</f>
        <v/>
      </c>
      <c r="P99" s="6" t="str">
        <f>IF(ISERROR(VLOOKUP($A99,'Plano de Contas'!#REF!,10,FALSE)),"",VLOOKUP($A99,'Plano de Contas'!#REF!,10,FALSE))</f>
        <v/>
      </c>
    </row>
    <row r="100" spans="1:16" x14ac:dyDescent="0.25">
      <c r="L100" s="49">
        <f t="shared" si="1"/>
        <v>0</v>
      </c>
      <c r="N100" s="6" t="str">
        <f>IF(ISERROR(VLOOKUP($A100,'Plano de Contas'!#REF!,8,FALSE)),"",VLOOKUP($A100,'Plano de Contas'!#REF!,8,FALSE))</f>
        <v/>
      </c>
      <c r="P100" s="6" t="str">
        <f>IF(ISERROR(VLOOKUP($A100,'Plano de Contas'!#REF!,10,FALSE)),"",VLOOKUP($A100,'Plano de Contas'!#REF!,10,FALSE))</f>
        <v/>
      </c>
    </row>
    <row r="101" spans="1:16" x14ac:dyDescent="0.25">
      <c r="A101" t="s">
        <v>190</v>
      </c>
      <c r="B101">
        <v>44</v>
      </c>
      <c r="C101" t="s">
        <v>191</v>
      </c>
      <c r="D101" s="10">
        <v>6406935.8200000003</v>
      </c>
      <c r="F101" s="10">
        <v>1220000</v>
      </c>
      <c r="H101" s="10">
        <v>2528935.8199999998</v>
      </c>
      <c r="I101" t="s">
        <v>35</v>
      </c>
      <c r="J101" s="10">
        <v>5098000</v>
      </c>
      <c r="L101" s="1">
        <f t="shared" si="1"/>
        <v>5098000</v>
      </c>
      <c r="N101" s="6" t="str">
        <f>IF(ISERROR(VLOOKUP($A101,'Plano de Contas'!#REF!,8,FALSE)),"",VLOOKUP($A101,'Plano de Contas'!#REF!,8,FALSE))</f>
        <v/>
      </c>
      <c r="P101" s="6" t="str">
        <f>IF(ISERROR(VLOOKUP($A101,'Plano de Contas'!#REF!,10,FALSE)),"",VLOOKUP($A101,'Plano de Contas'!#REF!,10,FALSE))</f>
        <v/>
      </c>
    </row>
    <row r="102" spans="1:16" x14ac:dyDescent="0.25">
      <c r="A102" t="s">
        <v>192</v>
      </c>
      <c r="B102">
        <v>45</v>
      </c>
      <c r="C102" t="s">
        <v>193</v>
      </c>
      <c r="D102" s="10">
        <v>6363696.5800000001</v>
      </c>
      <c r="F102" s="10">
        <v>1220000</v>
      </c>
      <c r="H102" s="10">
        <v>122000</v>
      </c>
      <c r="I102" t="s">
        <v>35</v>
      </c>
      <c r="J102" s="10">
        <v>7461696.5800000001</v>
      </c>
      <c r="L102" s="1">
        <f t="shared" si="1"/>
        <v>7461696.5800000001</v>
      </c>
      <c r="N102" s="6" t="str">
        <f>IF(ISERROR(VLOOKUP($A102,'Plano de Contas'!#REF!,8,FALSE)),"",VLOOKUP($A102,'Plano de Contas'!#REF!,8,FALSE))</f>
        <v/>
      </c>
      <c r="P102" s="6" t="str">
        <f>IF(ISERROR(VLOOKUP($A102,'Plano de Contas'!#REF!,10,FALSE)),"",VLOOKUP($A102,'Plano de Contas'!#REF!,10,FALSE))</f>
        <v/>
      </c>
    </row>
    <row r="103" spans="1:16" x14ac:dyDescent="0.25">
      <c r="A103" t="s">
        <v>194</v>
      </c>
      <c r="B103">
        <v>436</v>
      </c>
      <c r="C103" t="s">
        <v>195</v>
      </c>
      <c r="D103" s="10">
        <v>43239.24</v>
      </c>
      <c r="F103">
        <v>0</v>
      </c>
      <c r="H103">
        <v>0</v>
      </c>
      <c r="J103" s="10">
        <v>43239.24</v>
      </c>
      <c r="L103" s="48">
        <f t="shared" si="1"/>
        <v>43239.24</v>
      </c>
      <c r="N103" s="6" t="str">
        <f>IF(ISERROR(VLOOKUP($A103,'Plano de Contas'!#REF!,8,FALSE)),"",VLOOKUP($A103,'Plano de Contas'!#REF!,8,FALSE))</f>
        <v/>
      </c>
      <c r="P103" s="6" t="str">
        <f>IF(ISERROR(VLOOKUP($A103,'Plano de Contas'!#REF!,10,FALSE)),"",VLOOKUP($A103,'Plano de Contas'!#REF!,10,FALSE))</f>
        <v/>
      </c>
    </row>
    <row r="104" spans="1:16" x14ac:dyDescent="0.25">
      <c r="A104" t="s">
        <v>1006</v>
      </c>
      <c r="B104">
        <v>1038</v>
      </c>
      <c r="C104" t="s">
        <v>1007</v>
      </c>
      <c r="D104">
        <v>0</v>
      </c>
      <c r="F104">
        <v>0</v>
      </c>
      <c r="H104" s="10">
        <v>2406935.8199999998</v>
      </c>
      <c r="J104" s="10">
        <v>2406935.8199999998</v>
      </c>
      <c r="K104" t="s">
        <v>35</v>
      </c>
      <c r="L104" s="62">
        <f t="shared" si="1"/>
        <v>-2406935.8199999998</v>
      </c>
      <c r="N104" s="6" t="str">
        <f>IF(ISERROR(VLOOKUP($A104,'Plano de Contas'!#REF!,8,FALSE)),"",VLOOKUP($A104,'Plano de Contas'!#REF!,8,FALSE))</f>
        <v/>
      </c>
      <c r="P104" s="6" t="str">
        <f>IF(ISERROR(VLOOKUP($A104,'Plano de Contas'!#REF!,10,FALSE)),"",VLOOKUP($A104,'Plano de Contas'!#REF!,10,FALSE))</f>
        <v/>
      </c>
    </row>
    <row r="105" spans="1:16" x14ac:dyDescent="0.25">
      <c r="L105" s="1">
        <f t="shared" si="1"/>
        <v>0</v>
      </c>
      <c r="N105" s="6" t="str">
        <f>IF(ISERROR(VLOOKUP($A105,'Plano de Contas'!#REF!,8,FALSE)),"",VLOOKUP($A105,'Plano de Contas'!#REF!,8,FALSE))</f>
        <v/>
      </c>
      <c r="P105" s="6" t="str">
        <f>IF(ISERROR(VLOOKUP($A105,'Plano de Contas'!#REF!,10,FALSE)),"",VLOOKUP($A105,'Plano de Contas'!#REF!,10,FALSE))</f>
        <v/>
      </c>
    </row>
    <row r="106" spans="1:16" x14ac:dyDescent="0.25">
      <c r="A106" t="s">
        <v>196</v>
      </c>
      <c r="B106">
        <v>46</v>
      </c>
      <c r="C106" t="s">
        <v>197</v>
      </c>
      <c r="D106" s="10">
        <v>760446.99</v>
      </c>
      <c r="F106" s="10">
        <v>977911.95</v>
      </c>
      <c r="H106" s="10">
        <v>198050.79</v>
      </c>
      <c r="I106" t="s">
        <v>35</v>
      </c>
      <c r="J106" s="10">
        <v>1540308.15</v>
      </c>
      <c r="L106" s="1">
        <f t="shared" si="1"/>
        <v>1540308.15</v>
      </c>
      <c r="N106" s="6" t="str">
        <f>IF(ISERROR(VLOOKUP($A106,'Plano de Contas'!#REF!,8,FALSE)),"",VLOOKUP($A106,'Plano de Contas'!#REF!,8,FALSE))</f>
        <v/>
      </c>
      <c r="P106" s="6" t="str">
        <f>IF(ISERROR(VLOOKUP($A106,'Plano de Contas'!#REF!,10,FALSE)),"",VLOOKUP($A106,'Plano de Contas'!#REF!,10,FALSE))</f>
        <v/>
      </c>
    </row>
    <row r="107" spans="1:16" x14ac:dyDescent="0.25">
      <c r="A107" t="s">
        <v>198</v>
      </c>
      <c r="B107">
        <v>528</v>
      </c>
      <c r="C107" t="s">
        <v>199</v>
      </c>
      <c r="D107" s="10">
        <v>35713.019999999997</v>
      </c>
      <c r="F107">
        <v>0</v>
      </c>
      <c r="H107" s="10">
        <v>35713.019999999997</v>
      </c>
      <c r="I107" t="s">
        <v>35</v>
      </c>
      <c r="J107">
        <v>0</v>
      </c>
      <c r="L107" s="48">
        <f t="shared" si="1"/>
        <v>0</v>
      </c>
      <c r="N107" s="6" t="str">
        <f>IF(ISERROR(VLOOKUP($A107,'Plano de Contas'!#REF!,8,FALSE)),"",VLOOKUP($A107,'Plano de Contas'!#REF!,8,FALSE))</f>
        <v/>
      </c>
      <c r="P107" s="6" t="str">
        <f>IF(ISERROR(VLOOKUP($A107,'Plano de Contas'!#REF!,10,FALSE)),"",VLOOKUP($A107,'Plano de Contas'!#REF!,10,FALSE))</f>
        <v/>
      </c>
    </row>
    <row r="108" spans="1:16" x14ac:dyDescent="0.25">
      <c r="A108" t="s">
        <v>200</v>
      </c>
      <c r="B108">
        <v>902</v>
      </c>
      <c r="C108" t="s">
        <v>1008</v>
      </c>
      <c r="D108" s="10">
        <v>466072.43</v>
      </c>
      <c r="F108" s="10">
        <v>806376.94</v>
      </c>
      <c r="H108">
        <v>0</v>
      </c>
      <c r="J108" s="10">
        <v>1272449.3700000001</v>
      </c>
      <c r="L108" s="48">
        <f t="shared" si="1"/>
        <v>1272449.3700000001</v>
      </c>
      <c r="N108" s="6" t="str">
        <f>IF(ISERROR(VLOOKUP($A108,'Plano de Contas'!#REF!,8,FALSE)),"",VLOOKUP($A108,'Plano de Contas'!#REF!,8,FALSE))</f>
        <v/>
      </c>
      <c r="P108" s="6" t="str">
        <f>IF(ISERROR(VLOOKUP($A108,'Plano de Contas'!#REF!,10,FALSE)),"",VLOOKUP($A108,'Plano de Contas'!#REF!,10,FALSE))</f>
        <v/>
      </c>
    </row>
    <row r="109" spans="1:16" x14ac:dyDescent="0.25">
      <c r="A109" t="s">
        <v>202</v>
      </c>
      <c r="B109">
        <v>527</v>
      </c>
      <c r="C109" t="s">
        <v>203</v>
      </c>
      <c r="D109">
        <v>29.99</v>
      </c>
      <c r="E109" t="s">
        <v>35</v>
      </c>
      <c r="F109">
        <v>29.99</v>
      </c>
      <c r="H109">
        <v>0</v>
      </c>
      <c r="J109">
        <v>0</v>
      </c>
      <c r="L109" s="48">
        <f t="shared" si="1"/>
        <v>0</v>
      </c>
      <c r="N109" s="6" t="str">
        <f>IF(ISERROR(VLOOKUP($A109,'Plano de Contas'!#REF!,8,FALSE)),"",VLOOKUP($A109,'Plano de Contas'!#REF!,8,FALSE))</f>
        <v/>
      </c>
      <c r="P109" s="6" t="str">
        <f>IF(ISERROR(VLOOKUP($A109,'Plano de Contas'!#REF!,10,FALSE)),"",VLOOKUP($A109,'Plano de Contas'!#REF!,10,FALSE))</f>
        <v/>
      </c>
    </row>
    <row r="110" spans="1:16" x14ac:dyDescent="0.25">
      <c r="A110" t="s">
        <v>204</v>
      </c>
      <c r="B110">
        <v>529</v>
      </c>
      <c r="C110" t="s">
        <v>205</v>
      </c>
      <c r="D110">
        <v>797.8</v>
      </c>
      <c r="E110" t="s">
        <v>35</v>
      </c>
      <c r="F110">
        <v>797.8</v>
      </c>
      <c r="H110">
        <v>0</v>
      </c>
      <c r="J110">
        <v>0</v>
      </c>
      <c r="L110" s="48">
        <f t="shared" si="1"/>
        <v>0</v>
      </c>
      <c r="N110" s="6" t="str">
        <f>IF(ISERROR(VLOOKUP($A110,'Plano de Contas'!#REF!,8,FALSE)),"",VLOOKUP($A110,'Plano de Contas'!#REF!,8,FALSE))</f>
        <v/>
      </c>
      <c r="P110" s="6" t="str">
        <f>IF(ISERROR(VLOOKUP($A110,'Plano de Contas'!#REF!,10,FALSE)),"",VLOOKUP($A110,'Plano de Contas'!#REF!,10,FALSE))</f>
        <v/>
      </c>
    </row>
    <row r="111" spans="1:16" x14ac:dyDescent="0.25">
      <c r="A111" t="s">
        <v>206</v>
      </c>
      <c r="B111">
        <v>550</v>
      </c>
      <c r="C111" t="s">
        <v>207</v>
      </c>
      <c r="D111" s="10">
        <v>149754.76</v>
      </c>
      <c r="F111">
        <v>0</v>
      </c>
      <c r="H111" s="10">
        <v>149754.76</v>
      </c>
      <c r="I111" t="s">
        <v>35</v>
      </c>
      <c r="J111">
        <v>0</v>
      </c>
      <c r="L111" s="48">
        <f t="shared" si="1"/>
        <v>0</v>
      </c>
      <c r="N111" s="6" t="str">
        <f>IF(ISERROR(VLOOKUP($A111,'Plano de Contas'!#REF!,8,FALSE)),"",VLOOKUP($A111,'Plano de Contas'!#REF!,8,FALSE))</f>
        <v/>
      </c>
      <c r="P111" s="6" t="str">
        <f>IF(ISERROR(VLOOKUP($A111,'Plano de Contas'!#REF!,10,FALSE)),"",VLOOKUP($A111,'Plano de Contas'!#REF!,10,FALSE))</f>
        <v/>
      </c>
    </row>
    <row r="112" spans="1:16" x14ac:dyDescent="0.25">
      <c r="A112" t="s">
        <v>208</v>
      </c>
      <c r="B112">
        <v>672</v>
      </c>
      <c r="C112" t="s">
        <v>209</v>
      </c>
      <c r="D112" s="10">
        <v>12583.01</v>
      </c>
      <c r="F112">
        <v>0</v>
      </c>
      <c r="H112" s="10">
        <v>12583.01</v>
      </c>
      <c r="I112" t="s">
        <v>35</v>
      </c>
      <c r="J112">
        <v>0</v>
      </c>
      <c r="L112" s="48">
        <f t="shared" si="1"/>
        <v>0</v>
      </c>
      <c r="N112" s="6" t="str">
        <f>IF(ISERROR(VLOOKUP($A112,'Plano de Contas'!#REF!,8,FALSE)),"",VLOOKUP($A112,'Plano de Contas'!#REF!,8,FALSE))</f>
        <v/>
      </c>
      <c r="P112" s="6" t="str">
        <f>IF(ISERROR(VLOOKUP($A112,'Plano de Contas'!#REF!,10,FALSE)),"",VLOOKUP($A112,'Plano de Contas'!#REF!,10,FALSE))</f>
        <v/>
      </c>
    </row>
    <row r="113" spans="1:16" x14ac:dyDescent="0.25">
      <c r="A113" t="s">
        <v>210</v>
      </c>
      <c r="B113">
        <v>901</v>
      </c>
      <c r="C113" t="s">
        <v>211</v>
      </c>
      <c r="D113" s="10">
        <v>97151.67</v>
      </c>
      <c r="F113" s="10">
        <v>170707.11</v>
      </c>
      <c r="H113">
        <v>0</v>
      </c>
      <c r="J113" s="10">
        <v>267858.78000000003</v>
      </c>
      <c r="L113" s="48">
        <f t="shared" si="1"/>
        <v>267858.78000000003</v>
      </c>
      <c r="N113" s="6" t="str">
        <f>IF(ISERROR(VLOOKUP($A113,'Plano de Contas'!#REF!,8,FALSE)),"",VLOOKUP($A113,'Plano de Contas'!#REF!,8,FALSE))</f>
        <v/>
      </c>
      <c r="P113" s="6" t="str">
        <f>IF(ISERROR(VLOOKUP($A113,'Plano de Contas'!#REF!,10,FALSE)),"",VLOOKUP($A113,'Plano de Contas'!#REF!,10,FALSE))</f>
        <v/>
      </c>
    </row>
    <row r="114" spans="1:16" x14ac:dyDescent="0.25">
      <c r="A114" t="s">
        <v>212</v>
      </c>
      <c r="B114">
        <v>924</v>
      </c>
      <c r="C114" t="s">
        <v>213</v>
      </c>
      <c r="D114">
        <v>0.11</v>
      </c>
      <c r="E114" t="s">
        <v>35</v>
      </c>
      <c r="F114">
        <v>0.11</v>
      </c>
      <c r="H114">
        <v>0</v>
      </c>
      <c r="J114">
        <v>0</v>
      </c>
      <c r="L114" s="1">
        <f t="shared" si="1"/>
        <v>0</v>
      </c>
      <c r="N114" s="6" t="str">
        <f>IF(ISERROR(VLOOKUP($A114,'Plano de Contas'!#REF!,8,FALSE)),"",VLOOKUP($A114,'Plano de Contas'!#REF!,8,FALSE))</f>
        <v/>
      </c>
      <c r="P114" s="6" t="str">
        <f>IF(ISERROR(VLOOKUP($A114,'Plano de Contas'!#REF!,10,FALSE)),"",VLOOKUP($A114,'Plano de Contas'!#REF!,10,FALSE))</f>
        <v/>
      </c>
    </row>
    <row r="115" spans="1:16" x14ac:dyDescent="0.25">
      <c r="L115" s="1">
        <f t="shared" si="1"/>
        <v>0</v>
      </c>
      <c r="N115" s="6" t="str">
        <f>IF(ISERROR(VLOOKUP($A115,'Plano de Contas'!#REF!,8,FALSE)),"",VLOOKUP($A115,'Plano de Contas'!#REF!,8,FALSE))</f>
        <v/>
      </c>
      <c r="P115" s="6" t="str">
        <f>IF(ISERROR(VLOOKUP($A115,'Plano de Contas'!#REF!,10,FALSE)),"",VLOOKUP($A115,'Plano de Contas'!#REF!,10,FALSE))</f>
        <v/>
      </c>
    </row>
    <row r="116" spans="1:16" x14ac:dyDescent="0.25">
      <c r="A116" t="s">
        <v>216</v>
      </c>
      <c r="B116">
        <v>697</v>
      </c>
      <c r="C116" t="s">
        <v>217</v>
      </c>
      <c r="D116" s="10">
        <v>182868.82</v>
      </c>
      <c r="F116" s="10">
        <v>98269.79</v>
      </c>
      <c r="H116" s="10">
        <v>62737.279999999999</v>
      </c>
      <c r="I116" t="s">
        <v>35</v>
      </c>
      <c r="J116" s="10">
        <v>218401.33</v>
      </c>
      <c r="L116" s="1">
        <f t="shared" si="1"/>
        <v>218401.33</v>
      </c>
      <c r="N116" s="6" t="str">
        <f>IF(ISERROR(VLOOKUP($A116,'Plano de Contas'!#REF!,8,FALSE)),"",VLOOKUP($A116,'Plano de Contas'!#REF!,8,FALSE))</f>
        <v/>
      </c>
      <c r="P116" s="6" t="str">
        <f>IF(ISERROR(VLOOKUP($A116,'Plano de Contas'!#REF!,10,FALSE)),"",VLOOKUP($A116,'Plano de Contas'!#REF!,10,FALSE))</f>
        <v/>
      </c>
    </row>
    <row r="117" spans="1:16" x14ac:dyDescent="0.25">
      <c r="A117" t="s">
        <v>218</v>
      </c>
      <c r="B117">
        <v>698</v>
      </c>
      <c r="C117" t="s">
        <v>219</v>
      </c>
      <c r="D117" s="10">
        <v>1790.03</v>
      </c>
      <c r="F117">
        <v>0</v>
      </c>
      <c r="H117">
        <v>0</v>
      </c>
      <c r="J117" s="10">
        <v>1790.03</v>
      </c>
      <c r="L117" s="48">
        <f t="shared" si="1"/>
        <v>1790.03</v>
      </c>
      <c r="N117" s="6" t="str">
        <f>IF(ISERROR(VLOOKUP($A117,'Plano de Contas'!#REF!,8,FALSE)),"",VLOOKUP($A117,'Plano de Contas'!#REF!,8,FALSE))</f>
        <v/>
      </c>
      <c r="P117" s="6" t="str">
        <f>IF(ISERROR(VLOOKUP($A117,'Plano de Contas'!#REF!,10,FALSE)),"",VLOOKUP($A117,'Plano de Contas'!#REF!,10,FALSE))</f>
        <v/>
      </c>
    </row>
    <row r="118" spans="1:16" x14ac:dyDescent="0.25">
      <c r="A118" t="s">
        <v>220</v>
      </c>
      <c r="B118">
        <v>781</v>
      </c>
      <c r="C118" t="s">
        <v>221</v>
      </c>
      <c r="D118" s="10">
        <v>80414.63</v>
      </c>
      <c r="F118" s="10">
        <v>88011.07</v>
      </c>
      <c r="H118" s="10">
        <v>10149.89</v>
      </c>
      <c r="I118" t="s">
        <v>35</v>
      </c>
      <c r="J118" s="10">
        <v>158275.81</v>
      </c>
      <c r="L118" s="48">
        <f t="shared" si="1"/>
        <v>158275.81</v>
      </c>
      <c r="N118" s="6" t="str">
        <f>IF(ISERROR(VLOOKUP($A118,'Plano de Contas'!#REF!,8,FALSE)),"",VLOOKUP($A118,'Plano de Contas'!#REF!,8,FALSE))</f>
        <v/>
      </c>
      <c r="P118" s="6" t="str">
        <f>IF(ISERROR(VLOOKUP($A118,'Plano de Contas'!#REF!,10,FALSE)),"",VLOOKUP($A118,'Plano de Contas'!#REF!,10,FALSE))</f>
        <v/>
      </c>
    </row>
    <row r="119" spans="1:16" x14ac:dyDescent="0.25">
      <c r="A119" t="s">
        <v>222</v>
      </c>
      <c r="B119">
        <v>922</v>
      </c>
      <c r="C119" t="s">
        <v>223</v>
      </c>
      <c r="D119" s="10">
        <v>100664.16</v>
      </c>
      <c r="F119" s="10">
        <v>10258.719999999999</v>
      </c>
      <c r="H119" s="10">
        <v>52587.39</v>
      </c>
      <c r="I119" t="s">
        <v>35</v>
      </c>
      <c r="J119" s="10">
        <v>58335.49</v>
      </c>
      <c r="L119" s="1">
        <f t="shared" si="1"/>
        <v>58335.49</v>
      </c>
      <c r="N119" s="6" t="str">
        <f>IF(ISERROR(VLOOKUP($A119,'Plano de Contas'!#REF!,8,FALSE)),"",VLOOKUP($A119,'Plano de Contas'!#REF!,8,FALSE))</f>
        <v/>
      </c>
      <c r="P119" s="6" t="str">
        <f>IF(ISERROR(VLOOKUP($A119,'Plano de Contas'!#REF!,10,FALSE)),"",VLOOKUP($A119,'Plano de Contas'!#REF!,10,FALSE))</f>
        <v/>
      </c>
    </row>
    <row r="120" spans="1:16" x14ac:dyDescent="0.25">
      <c r="L120" s="1">
        <f t="shared" si="1"/>
        <v>0</v>
      </c>
      <c r="N120" s="6" t="str">
        <f>IF(ISERROR(VLOOKUP($A120,'Plano de Contas'!#REF!,8,FALSE)),"",VLOOKUP($A120,'Plano de Contas'!#REF!,8,FALSE))</f>
        <v/>
      </c>
      <c r="P120" s="6" t="str">
        <f>IF(ISERROR(VLOOKUP($A120,'Plano de Contas'!#REF!,10,FALSE)),"",VLOOKUP($A120,'Plano de Contas'!#REF!,10,FALSE))</f>
        <v/>
      </c>
    </row>
    <row r="121" spans="1:16" x14ac:dyDescent="0.25">
      <c r="A121" t="s">
        <v>224</v>
      </c>
      <c r="B121">
        <v>48</v>
      </c>
      <c r="C121" t="s">
        <v>225</v>
      </c>
      <c r="D121" s="10">
        <v>20342500.93</v>
      </c>
      <c r="F121" s="10">
        <v>66246.25</v>
      </c>
      <c r="H121">
        <v>0</v>
      </c>
      <c r="J121" s="10">
        <v>20408747.18</v>
      </c>
      <c r="L121" s="1">
        <f t="shared" si="1"/>
        <v>20408747.18</v>
      </c>
      <c r="N121" s="6" t="str">
        <f>IF(ISERROR(VLOOKUP($A121,'Plano de Contas'!#REF!,8,FALSE)),"",VLOOKUP($A121,'Plano de Contas'!#REF!,8,FALSE))</f>
        <v/>
      </c>
      <c r="P121" s="6" t="str">
        <f>IF(ISERROR(VLOOKUP($A121,'Plano de Contas'!#REF!,10,FALSE)),"",VLOOKUP($A121,'Plano de Contas'!#REF!,10,FALSE))</f>
        <v/>
      </c>
    </row>
    <row r="122" spans="1:16" x14ac:dyDescent="0.25">
      <c r="A122" t="s">
        <v>226</v>
      </c>
      <c r="B122">
        <v>316</v>
      </c>
      <c r="C122" t="s">
        <v>227</v>
      </c>
      <c r="D122" s="10">
        <v>18441490.129999999</v>
      </c>
      <c r="F122" s="10">
        <v>40490</v>
      </c>
      <c r="H122">
        <v>0</v>
      </c>
      <c r="J122" s="10">
        <v>18481980.129999999</v>
      </c>
      <c r="L122" s="1">
        <f t="shared" si="1"/>
        <v>18481980.129999999</v>
      </c>
      <c r="N122" s="6" t="str">
        <f>IF(ISERROR(VLOOKUP($A122,'Plano de Contas'!#REF!,8,FALSE)),"",VLOOKUP($A122,'Plano de Contas'!#REF!,8,FALSE))</f>
        <v/>
      </c>
      <c r="P122" s="6" t="str">
        <f>IF(ISERROR(VLOOKUP($A122,'Plano de Contas'!#REF!,10,FALSE)),"",VLOOKUP($A122,'Plano de Contas'!#REF!,10,FALSE))</f>
        <v/>
      </c>
    </row>
    <row r="123" spans="1:16" x14ac:dyDescent="0.25">
      <c r="A123" t="s">
        <v>228</v>
      </c>
      <c r="B123">
        <v>317</v>
      </c>
      <c r="C123" t="s">
        <v>229</v>
      </c>
      <c r="D123" s="10">
        <v>1901010.8</v>
      </c>
      <c r="F123" s="10">
        <v>25756.25</v>
      </c>
      <c r="H123">
        <v>0</v>
      </c>
      <c r="J123" s="10">
        <v>1926767.05</v>
      </c>
      <c r="L123" s="1">
        <f t="shared" si="1"/>
        <v>1926767.05</v>
      </c>
      <c r="N123" s="6" t="str">
        <f>IF(ISERROR(VLOOKUP($A123,'Plano de Contas'!#REF!,8,FALSE)),"",VLOOKUP($A123,'Plano de Contas'!#REF!,8,FALSE))</f>
        <v/>
      </c>
      <c r="P123" s="6" t="str">
        <f>IF(ISERROR(VLOOKUP($A123,'Plano de Contas'!#REF!,10,FALSE)),"",VLOOKUP($A123,'Plano de Contas'!#REF!,10,FALSE))</f>
        <v/>
      </c>
    </row>
    <row r="124" spans="1:16" x14ac:dyDescent="0.25">
      <c r="L124" s="1">
        <f t="shared" si="1"/>
        <v>0</v>
      </c>
      <c r="N124" s="6" t="str">
        <f>IF(ISERROR(VLOOKUP($A124,'Plano de Contas'!#REF!,8,FALSE)),"",VLOOKUP($A124,'Plano de Contas'!#REF!,8,FALSE))</f>
        <v/>
      </c>
      <c r="P124" s="6" t="str">
        <f>IF(ISERROR(VLOOKUP($A124,'Plano de Contas'!#REF!,10,FALSE)),"",VLOOKUP($A124,'Plano de Contas'!#REF!,10,FALSE))</f>
        <v/>
      </c>
    </row>
    <row r="125" spans="1:16" x14ac:dyDescent="0.25">
      <c r="A125" t="s">
        <v>230</v>
      </c>
      <c r="B125">
        <v>50</v>
      </c>
      <c r="C125" t="s">
        <v>231</v>
      </c>
      <c r="D125" s="10">
        <v>624635.68000000005</v>
      </c>
      <c r="F125">
        <v>0</v>
      </c>
      <c r="H125">
        <v>0</v>
      </c>
      <c r="J125" s="10">
        <v>624635.68000000005</v>
      </c>
      <c r="L125" s="1">
        <f t="shared" si="1"/>
        <v>624635.68000000005</v>
      </c>
      <c r="N125" s="6" t="str">
        <f>IF(ISERROR(VLOOKUP($A125,'Plano de Contas'!#REF!,8,FALSE)),"",VLOOKUP($A125,'Plano de Contas'!#REF!,8,FALSE))</f>
        <v/>
      </c>
      <c r="P125" s="6" t="str">
        <f>IF(ISERROR(VLOOKUP($A125,'Plano de Contas'!#REF!,10,FALSE)),"",VLOOKUP($A125,'Plano de Contas'!#REF!,10,FALSE))</f>
        <v/>
      </c>
    </row>
    <row r="126" spans="1:16" x14ac:dyDescent="0.25">
      <c r="A126" t="s">
        <v>236</v>
      </c>
      <c r="B126">
        <v>539</v>
      </c>
      <c r="C126" t="s">
        <v>237</v>
      </c>
      <c r="D126" s="10">
        <v>329681.57</v>
      </c>
      <c r="F126">
        <v>0</v>
      </c>
      <c r="H126">
        <v>0</v>
      </c>
      <c r="J126" s="10">
        <v>329681.57</v>
      </c>
      <c r="L126" s="1">
        <f t="shared" si="1"/>
        <v>329681.57</v>
      </c>
      <c r="N126" s="6" t="str">
        <f>IF(ISERROR(VLOOKUP($A126,'Plano de Contas'!#REF!,8,FALSE)),"",VLOOKUP($A126,'Plano de Contas'!#REF!,8,FALSE))</f>
        <v/>
      </c>
      <c r="P126" s="6" t="str">
        <f>IF(ISERROR(VLOOKUP($A126,'Plano de Contas'!#REF!,10,FALSE)),"",VLOOKUP($A126,'Plano de Contas'!#REF!,10,FALSE))</f>
        <v/>
      </c>
    </row>
    <row r="127" spans="1:16" x14ac:dyDescent="0.25">
      <c r="A127" t="s">
        <v>238</v>
      </c>
      <c r="B127">
        <v>541</v>
      </c>
      <c r="C127" t="s">
        <v>239</v>
      </c>
      <c r="D127" s="10">
        <v>36420.910000000003</v>
      </c>
      <c r="F127">
        <v>0</v>
      </c>
      <c r="H127">
        <v>0</v>
      </c>
      <c r="J127" s="10">
        <v>36420.910000000003</v>
      </c>
      <c r="L127" s="1">
        <f t="shared" si="1"/>
        <v>36420.910000000003</v>
      </c>
      <c r="N127" s="6" t="str">
        <f>IF(ISERROR(VLOOKUP($A127,'Plano de Contas'!#REF!,8,FALSE)),"",VLOOKUP($A127,'Plano de Contas'!#REF!,8,FALSE))</f>
        <v/>
      </c>
      <c r="P127" s="6" t="str">
        <f>IF(ISERROR(VLOOKUP($A127,'Plano de Contas'!#REF!,10,FALSE)),"",VLOOKUP($A127,'Plano de Contas'!#REF!,10,FALSE))</f>
        <v/>
      </c>
    </row>
    <row r="128" spans="1:16" x14ac:dyDescent="0.25">
      <c r="A128" t="s">
        <v>240</v>
      </c>
      <c r="B128">
        <v>543</v>
      </c>
      <c r="C128" t="s">
        <v>241</v>
      </c>
      <c r="D128" s="10">
        <v>49441.29</v>
      </c>
      <c r="F128">
        <v>0</v>
      </c>
      <c r="H128">
        <v>0</v>
      </c>
      <c r="J128" s="10">
        <v>49441.29</v>
      </c>
      <c r="L128" s="1">
        <f t="shared" si="1"/>
        <v>49441.29</v>
      </c>
      <c r="N128" s="6" t="str">
        <f>IF(ISERROR(VLOOKUP($A128,'Plano de Contas'!#REF!,8,FALSE)),"",VLOOKUP($A128,'Plano de Contas'!#REF!,8,FALSE))</f>
        <v/>
      </c>
      <c r="P128" s="6" t="str">
        <f>IF(ISERROR(VLOOKUP($A128,'Plano de Contas'!#REF!,10,FALSE)),"",VLOOKUP($A128,'Plano de Contas'!#REF!,10,FALSE))</f>
        <v/>
      </c>
    </row>
    <row r="129" spans="1:16" x14ac:dyDescent="0.25">
      <c r="A129" t="s">
        <v>242</v>
      </c>
      <c r="B129">
        <v>559</v>
      </c>
      <c r="C129" t="s">
        <v>243</v>
      </c>
      <c r="D129" s="10">
        <v>209091.91</v>
      </c>
      <c r="F129">
        <v>0</v>
      </c>
      <c r="H129">
        <v>0</v>
      </c>
      <c r="J129" s="10">
        <v>209091.91</v>
      </c>
      <c r="L129" s="1">
        <f t="shared" si="1"/>
        <v>209091.91</v>
      </c>
      <c r="N129" s="6" t="str">
        <f>IF(ISERROR(VLOOKUP($A129,'Plano de Contas'!#REF!,8,FALSE)),"",VLOOKUP($A129,'Plano de Contas'!#REF!,8,FALSE))</f>
        <v/>
      </c>
      <c r="P129" s="6" t="str">
        <f>IF(ISERROR(VLOOKUP($A129,'Plano de Contas'!#REF!,10,FALSE)),"",VLOOKUP($A129,'Plano de Contas'!#REF!,10,FALSE))</f>
        <v/>
      </c>
    </row>
    <row r="130" spans="1:16" x14ac:dyDescent="0.25">
      <c r="L130" s="1">
        <f t="shared" si="1"/>
        <v>0</v>
      </c>
      <c r="N130" s="6" t="str">
        <f>IF(ISERROR(VLOOKUP($A130,'Plano de Contas'!#REF!,8,FALSE)),"",VLOOKUP($A130,'Plano de Contas'!#REF!,8,FALSE))</f>
        <v/>
      </c>
      <c r="P130" s="6" t="str">
        <f>IF(ISERROR(VLOOKUP($A130,'Plano de Contas'!#REF!,10,FALSE)),"",VLOOKUP($A130,'Plano de Contas'!#REF!,10,FALSE))</f>
        <v/>
      </c>
    </row>
    <row r="131" spans="1:16" x14ac:dyDescent="0.25">
      <c r="A131" t="s">
        <v>244</v>
      </c>
      <c r="B131">
        <v>51</v>
      </c>
      <c r="C131" t="s">
        <v>245</v>
      </c>
      <c r="D131" s="10">
        <v>765585.64</v>
      </c>
      <c r="F131" s="10">
        <v>14355.01</v>
      </c>
      <c r="H131" s="10">
        <v>771842.42</v>
      </c>
      <c r="I131" t="s">
        <v>35</v>
      </c>
      <c r="J131" s="10">
        <v>8098.23</v>
      </c>
      <c r="L131" s="1">
        <f t="shared" si="1"/>
        <v>8098.23</v>
      </c>
      <c r="N131" s="6" t="str">
        <f>IF(ISERROR(VLOOKUP($A131,'Plano de Contas'!#REF!,8,FALSE)),"",VLOOKUP($A131,'Plano de Contas'!#REF!,8,FALSE))</f>
        <v/>
      </c>
      <c r="P131" s="6" t="str">
        <f>IF(ISERROR(VLOOKUP($A131,'Plano de Contas'!#REF!,10,FALSE)),"",VLOOKUP($A131,'Plano de Contas'!#REF!,10,FALSE))</f>
        <v/>
      </c>
    </row>
    <row r="132" spans="1:16" x14ac:dyDescent="0.25">
      <c r="L132" s="1">
        <f t="shared" si="1"/>
        <v>0</v>
      </c>
      <c r="N132" s="6" t="str">
        <f>IF(ISERROR(VLOOKUP($A132,'Plano de Contas'!#REF!,8,FALSE)),"",VLOOKUP($A132,'Plano de Contas'!#REF!,8,FALSE))</f>
        <v/>
      </c>
      <c r="P132" s="6" t="str">
        <f>IF(ISERROR(VLOOKUP($A132,'Plano de Contas'!#REF!,10,FALSE)),"",VLOOKUP($A132,'Plano de Contas'!#REF!,10,FALSE))</f>
        <v/>
      </c>
    </row>
    <row r="133" spans="1:16" x14ac:dyDescent="0.25">
      <c r="A133" t="s">
        <v>246</v>
      </c>
      <c r="B133">
        <v>53</v>
      </c>
      <c r="C133" t="s">
        <v>247</v>
      </c>
      <c r="D133" s="10">
        <v>765585.64</v>
      </c>
      <c r="F133" s="10">
        <v>14355.01</v>
      </c>
      <c r="H133" s="10">
        <v>771842.42</v>
      </c>
      <c r="I133" t="s">
        <v>35</v>
      </c>
      <c r="J133" s="10">
        <v>8098.23</v>
      </c>
      <c r="L133" s="1">
        <f t="shared" si="1"/>
        <v>8098.23</v>
      </c>
      <c r="N133" s="6" t="str">
        <f>IF(ISERROR(VLOOKUP($A133,'Plano de Contas'!#REF!,8,FALSE)),"",VLOOKUP($A133,'Plano de Contas'!#REF!,8,FALSE))</f>
        <v/>
      </c>
      <c r="P133" s="6" t="str">
        <f>IF(ISERROR(VLOOKUP($A133,'Plano de Contas'!#REF!,10,FALSE)),"",VLOOKUP($A133,'Plano de Contas'!#REF!,10,FALSE))</f>
        <v/>
      </c>
    </row>
    <row r="134" spans="1:16" x14ac:dyDescent="0.25">
      <c r="A134" t="s">
        <v>248</v>
      </c>
      <c r="B134">
        <v>319</v>
      </c>
      <c r="C134" t="s">
        <v>249</v>
      </c>
      <c r="D134" s="10">
        <v>704779.43</v>
      </c>
      <c r="F134" s="10">
        <v>14355.01</v>
      </c>
      <c r="H134" s="10">
        <v>711036.21</v>
      </c>
      <c r="I134" t="s">
        <v>35</v>
      </c>
      <c r="J134" s="10">
        <v>8098.23</v>
      </c>
      <c r="L134" s="1">
        <f t="shared" si="1"/>
        <v>8098.23</v>
      </c>
      <c r="N134" s="6" t="str">
        <f>IF(ISERROR(VLOOKUP($A134,'Plano de Contas'!#REF!,8,FALSE)),"",VLOOKUP($A134,'Plano de Contas'!#REF!,8,FALSE))</f>
        <v/>
      </c>
      <c r="P134" s="6" t="str">
        <f>IF(ISERROR(VLOOKUP($A134,'Plano de Contas'!#REF!,10,FALSE)),"",VLOOKUP($A134,'Plano de Contas'!#REF!,10,FALSE))</f>
        <v/>
      </c>
    </row>
    <row r="135" spans="1:16" x14ac:dyDescent="0.25">
      <c r="A135" t="s">
        <v>1009</v>
      </c>
      <c r="B135">
        <v>320</v>
      </c>
      <c r="C135" t="s">
        <v>1010</v>
      </c>
      <c r="D135" s="10">
        <v>60806.21</v>
      </c>
      <c r="F135">
        <v>0</v>
      </c>
      <c r="H135" s="10">
        <v>60806.21</v>
      </c>
      <c r="I135" t="s">
        <v>35</v>
      </c>
      <c r="J135">
        <v>0</v>
      </c>
      <c r="L135" s="1">
        <f t="shared" si="1"/>
        <v>0</v>
      </c>
      <c r="N135" s="6" t="str">
        <f>IF(ISERROR(VLOOKUP($A135,'Plano de Contas'!#REF!,8,FALSE)),"",VLOOKUP($A135,'Plano de Contas'!#REF!,8,FALSE))</f>
        <v/>
      </c>
      <c r="P135" s="6" t="str">
        <f>IF(ISERROR(VLOOKUP($A135,'Plano de Contas'!#REF!,10,FALSE)),"",VLOOKUP($A135,'Plano de Contas'!#REF!,10,FALSE))</f>
        <v/>
      </c>
    </row>
    <row r="136" spans="1:16" x14ac:dyDescent="0.25">
      <c r="L136" s="1">
        <f t="shared" ref="L136:L199" si="2">IF(K136="-",-J136,J136)</f>
        <v>0</v>
      </c>
      <c r="N136" s="6" t="str">
        <f>IF(ISERROR(VLOOKUP($A136,'Plano de Contas'!#REF!,8,FALSE)),"",VLOOKUP($A136,'Plano de Contas'!#REF!,8,FALSE))</f>
        <v/>
      </c>
      <c r="P136" s="6" t="str">
        <f>IF(ISERROR(VLOOKUP($A136,'Plano de Contas'!#REF!,10,FALSE)),"",VLOOKUP($A136,'Plano de Contas'!#REF!,10,FALSE))</f>
        <v/>
      </c>
    </row>
    <row r="137" spans="1:16" x14ac:dyDescent="0.25">
      <c r="A137" t="s">
        <v>250</v>
      </c>
      <c r="B137">
        <v>71</v>
      </c>
      <c r="C137" t="s">
        <v>251</v>
      </c>
      <c r="D137" s="10">
        <v>2889997540.6599998</v>
      </c>
      <c r="F137" s="10">
        <v>3217291166.6799998</v>
      </c>
      <c r="H137" s="10">
        <v>1024848899.41</v>
      </c>
      <c r="I137" t="s">
        <v>35</v>
      </c>
      <c r="J137" s="10">
        <v>5082439807.9300003</v>
      </c>
      <c r="L137" s="1">
        <f t="shared" si="2"/>
        <v>5082439807.9300003</v>
      </c>
      <c r="N137" s="6" t="str">
        <f>IF(ISERROR(VLOOKUP($A137,'Plano de Contas'!#REF!,8,FALSE)),"",VLOOKUP($A137,'Plano de Contas'!#REF!,8,FALSE))</f>
        <v/>
      </c>
      <c r="P137" s="6" t="str">
        <f>IF(ISERROR(VLOOKUP($A137,'Plano de Contas'!#REF!,10,FALSE)),"",VLOOKUP($A137,'Plano de Contas'!#REF!,10,FALSE))</f>
        <v/>
      </c>
    </row>
    <row r="138" spans="1:16" x14ac:dyDescent="0.25">
      <c r="L138" s="1">
        <f t="shared" si="2"/>
        <v>0</v>
      </c>
      <c r="N138" s="6" t="str">
        <f>IF(ISERROR(VLOOKUP($A138,'Plano de Contas'!#REF!,8,FALSE)),"",VLOOKUP($A138,'Plano de Contas'!#REF!,8,FALSE))</f>
        <v/>
      </c>
      <c r="P138" s="6" t="str">
        <f>IF(ISERROR(VLOOKUP($A138,'Plano de Contas'!#REF!,10,FALSE)),"",VLOOKUP($A138,'Plano de Contas'!#REF!,10,FALSE))</f>
        <v/>
      </c>
    </row>
    <row r="139" spans="1:16" x14ac:dyDescent="0.25">
      <c r="A139" t="s">
        <v>252</v>
      </c>
      <c r="B139">
        <v>837</v>
      </c>
      <c r="C139" t="s">
        <v>253</v>
      </c>
      <c r="D139" s="10">
        <v>18736336.989999998</v>
      </c>
      <c r="F139" s="10">
        <v>2500116.94</v>
      </c>
      <c r="H139" s="10">
        <v>2934.81</v>
      </c>
      <c r="I139" t="s">
        <v>35</v>
      </c>
      <c r="J139" s="10">
        <v>21233519.120000001</v>
      </c>
      <c r="L139" s="1">
        <f t="shared" si="2"/>
        <v>21233519.120000001</v>
      </c>
      <c r="N139" s="6" t="str">
        <f>IF(ISERROR(VLOOKUP($A139,'Plano de Contas'!#REF!,8,FALSE)),"",VLOOKUP($A139,'Plano de Contas'!#REF!,8,FALSE))</f>
        <v/>
      </c>
      <c r="P139" s="6" t="str">
        <f>IF(ISERROR(VLOOKUP($A139,'Plano de Contas'!#REF!,10,FALSE)),"",VLOOKUP($A139,'Plano de Contas'!#REF!,10,FALSE))</f>
        <v/>
      </c>
    </row>
    <row r="140" spans="1:16" x14ac:dyDescent="0.25">
      <c r="L140" s="1">
        <f t="shared" si="2"/>
        <v>0</v>
      </c>
      <c r="N140" s="6" t="str">
        <f>IF(ISERROR(VLOOKUP($A140,'Plano de Contas'!#REF!,8,FALSE)),"",VLOOKUP($A140,'Plano de Contas'!#REF!,8,FALSE))</f>
        <v/>
      </c>
      <c r="P140" s="6" t="str">
        <f>IF(ISERROR(VLOOKUP($A140,'Plano de Contas'!#REF!,10,FALSE)),"",VLOOKUP($A140,'Plano de Contas'!#REF!,10,FALSE))</f>
        <v/>
      </c>
    </row>
    <row r="141" spans="1:16" x14ac:dyDescent="0.25">
      <c r="A141" t="s">
        <v>254</v>
      </c>
      <c r="B141">
        <v>851</v>
      </c>
      <c r="C141" t="s">
        <v>255</v>
      </c>
      <c r="D141" s="10">
        <v>15050119.09</v>
      </c>
      <c r="F141" s="10">
        <v>2500116.94</v>
      </c>
      <c r="H141">
        <v>707.06</v>
      </c>
      <c r="I141" t="s">
        <v>35</v>
      </c>
      <c r="J141" s="10">
        <v>17549528.969999999</v>
      </c>
      <c r="L141" s="1">
        <f t="shared" si="2"/>
        <v>17549528.969999999</v>
      </c>
      <c r="N141" s="6" t="str">
        <f>IF(ISERROR(VLOOKUP($A141,'Plano de Contas'!#REF!,8,FALSE)),"",VLOOKUP($A141,'Plano de Contas'!#REF!,8,FALSE))</f>
        <v/>
      </c>
      <c r="P141" s="6" t="str">
        <f>IF(ISERROR(VLOOKUP($A141,'Plano de Contas'!#REF!,10,FALSE)),"",VLOOKUP($A141,'Plano de Contas'!#REF!,10,FALSE))</f>
        <v/>
      </c>
    </row>
    <row r="142" spans="1:16" x14ac:dyDescent="0.25">
      <c r="A142" t="s">
        <v>256</v>
      </c>
      <c r="B142">
        <v>852</v>
      </c>
      <c r="C142" t="s">
        <v>257</v>
      </c>
      <c r="D142" s="10">
        <v>7979.28</v>
      </c>
      <c r="F142">
        <v>116.94</v>
      </c>
      <c r="H142">
        <v>707.06</v>
      </c>
      <c r="I142" t="s">
        <v>35</v>
      </c>
      <c r="J142" s="10">
        <v>7389.16</v>
      </c>
      <c r="L142" s="1">
        <f t="shared" si="2"/>
        <v>7389.16</v>
      </c>
      <c r="N142" s="6" t="str">
        <f>IF(ISERROR(VLOOKUP($A142,'Plano de Contas'!#REF!,8,FALSE)),"",VLOOKUP($A142,'Plano de Contas'!#REF!,8,FALSE))</f>
        <v/>
      </c>
      <c r="P142" s="6" t="str">
        <f>IF(ISERROR(VLOOKUP($A142,'Plano de Contas'!#REF!,10,FALSE)),"",VLOOKUP($A142,'Plano de Contas'!#REF!,10,FALSE))</f>
        <v/>
      </c>
    </row>
    <row r="143" spans="1:16" x14ac:dyDescent="0.25">
      <c r="A143" t="s">
        <v>258</v>
      </c>
      <c r="B143">
        <v>853</v>
      </c>
      <c r="C143" t="s">
        <v>259</v>
      </c>
      <c r="D143" s="10">
        <v>179076.71</v>
      </c>
      <c r="F143">
        <v>0</v>
      </c>
      <c r="H143">
        <v>0</v>
      </c>
      <c r="J143" s="10">
        <v>179076.71</v>
      </c>
      <c r="L143" s="1">
        <f t="shared" si="2"/>
        <v>179076.71</v>
      </c>
      <c r="N143" s="6" t="str">
        <f>IF(ISERROR(VLOOKUP($A143,'Plano de Contas'!#REF!,8,FALSE)),"",VLOOKUP($A143,'Plano de Contas'!#REF!,8,FALSE))</f>
        <v/>
      </c>
      <c r="P143" s="6" t="str">
        <f>IF(ISERROR(VLOOKUP($A143,'Plano de Contas'!#REF!,10,FALSE)),"",VLOOKUP($A143,'Plano de Contas'!#REF!,10,FALSE))</f>
        <v/>
      </c>
    </row>
    <row r="144" spans="1:16" x14ac:dyDescent="0.25">
      <c r="A144" t="s">
        <v>260</v>
      </c>
      <c r="B144">
        <v>941</v>
      </c>
      <c r="C144" t="s">
        <v>261</v>
      </c>
      <c r="D144" s="10">
        <v>14863063.1</v>
      </c>
      <c r="F144" s="10">
        <v>2500000</v>
      </c>
      <c r="H144">
        <v>0</v>
      </c>
      <c r="J144" s="10">
        <v>17363063.100000001</v>
      </c>
      <c r="L144" s="1">
        <f t="shared" si="2"/>
        <v>17363063.100000001</v>
      </c>
      <c r="N144" s="6" t="str">
        <f>IF(ISERROR(VLOOKUP($A144,'Plano de Contas'!#REF!,8,FALSE)),"",VLOOKUP($A144,'Plano de Contas'!#REF!,8,FALSE))</f>
        <v/>
      </c>
      <c r="P144" s="6" t="str">
        <f>IF(ISERROR(VLOOKUP($A144,'Plano de Contas'!#REF!,10,FALSE)),"",VLOOKUP($A144,'Plano de Contas'!#REF!,10,FALSE))</f>
        <v/>
      </c>
    </row>
    <row r="145" spans="1:16" x14ac:dyDescent="0.25">
      <c r="L145" s="1">
        <f t="shared" si="2"/>
        <v>0</v>
      </c>
      <c r="N145" s="6" t="str">
        <f>IF(ISERROR(VLOOKUP($A145,'Plano de Contas'!#REF!,8,FALSE)),"",VLOOKUP($A145,'Plano de Contas'!#REF!,8,FALSE))</f>
        <v/>
      </c>
      <c r="P145" s="6" t="str">
        <f>IF(ISERROR(VLOOKUP($A145,'Plano de Contas'!#REF!,10,FALSE)),"",VLOOKUP($A145,'Plano de Contas'!#REF!,10,FALSE))</f>
        <v/>
      </c>
    </row>
    <row r="146" spans="1:16" x14ac:dyDescent="0.25">
      <c r="A146" t="s">
        <v>262</v>
      </c>
      <c r="B146">
        <v>854</v>
      </c>
      <c r="C146" t="s">
        <v>263</v>
      </c>
      <c r="D146" s="10">
        <v>1813.75</v>
      </c>
      <c r="F146">
        <v>0</v>
      </c>
      <c r="H146" s="10">
        <v>1813.75</v>
      </c>
      <c r="I146" t="s">
        <v>35</v>
      </c>
      <c r="J146">
        <v>0</v>
      </c>
      <c r="L146" s="1">
        <f t="shared" si="2"/>
        <v>0</v>
      </c>
      <c r="N146" s="6" t="str">
        <f>IF(ISERROR(VLOOKUP($A146,'Plano de Contas'!#REF!,8,FALSE)),"",VLOOKUP($A146,'Plano de Contas'!#REF!,8,FALSE))</f>
        <v/>
      </c>
      <c r="P146" s="6" t="str">
        <f>IF(ISERROR(VLOOKUP($A146,'Plano de Contas'!#REF!,10,FALSE)),"",VLOOKUP($A146,'Plano de Contas'!#REF!,10,FALSE))</f>
        <v/>
      </c>
    </row>
    <row r="147" spans="1:16" x14ac:dyDescent="0.25">
      <c r="A147" t="s">
        <v>264</v>
      </c>
      <c r="B147">
        <v>855</v>
      </c>
      <c r="C147" t="s">
        <v>265</v>
      </c>
      <c r="D147" s="10">
        <v>1533.94</v>
      </c>
      <c r="F147">
        <v>0</v>
      </c>
      <c r="H147" s="10">
        <v>1533.94</v>
      </c>
      <c r="J147">
        <v>0</v>
      </c>
      <c r="L147" s="1">
        <f t="shared" si="2"/>
        <v>0</v>
      </c>
      <c r="N147" s="6" t="str">
        <f>IF(ISERROR(VLOOKUP($A147,'Plano de Contas'!#REF!,8,FALSE)),"",VLOOKUP($A147,'Plano de Contas'!#REF!,8,FALSE))</f>
        <v/>
      </c>
      <c r="P147" s="6" t="str">
        <f>IF(ISERROR(VLOOKUP($A147,'Plano de Contas'!#REF!,10,FALSE)),"",VLOOKUP($A147,'Plano de Contas'!#REF!,10,FALSE))</f>
        <v/>
      </c>
    </row>
    <row r="148" spans="1:16" x14ac:dyDescent="0.25">
      <c r="A148" t="s">
        <v>266</v>
      </c>
      <c r="B148">
        <v>856</v>
      </c>
      <c r="C148" t="s">
        <v>265</v>
      </c>
      <c r="D148">
        <v>279.81</v>
      </c>
      <c r="F148">
        <v>0</v>
      </c>
      <c r="H148">
        <v>279.81</v>
      </c>
      <c r="J148">
        <v>0</v>
      </c>
      <c r="L148" s="1">
        <f t="shared" si="2"/>
        <v>0</v>
      </c>
      <c r="N148" s="6" t="str">
        <f>IF(ISERROR(VLOOKUP($A148,'Plano de Contas'!#REF!,8,FALSE)),"",VLOOKUP($A148,'Plano de Contas'!#REF!,8,FALSE))</f>
        <v/>
      </c>
      <c r="P148" s="6" t="str">
        <f>IF(ISERROR(VLOOKUP($A148,'Plano de Contas'!#REF!,10,FALSE)),"",VLOOKUP($A148,'Plano de Contas'!#REF!,10,FALSE))</f>
        <v/>
      </c>
    </row>
    <row r="149" spans="1:16" x14ac:dyDescent="0.25">
      <c r="L149" s="1">
        <f t="shared" si="2"/>
        <v>0</v>
      </c>
      <c r="N149" s="6" t="str">
        <f>IF(ISERROR(VLOOKUP($A149,'Plano de Contas'!#REF!,8,FALSE)),"",VLOOKUP($A149,'Plano de Contas'!#REF!,8,FALSE))</f>
        <v/>
      </c>
      <c r="P149" s="6" t="str">
        <f>IF(ISERROR(VLOOKUP($A149,'Plano de Contas'!#REF!,10,FALSE)),"",VLOOKUP($A149,'Plano de Contas'!#REF!,10,FALSE))</f>
        <v/>
      </c>
    </row>
    <row r="150" spans="1:16" x14ac:dyDescent="0.25">
      <c r="A150" t="s">
        <v>267</v>
      </c>
      <c r="B150">
        <v>857</v>
      </c>
      <c r="C150" t="s">
        <v>268</v>
      </c>
      <c r="D150" s="10">
        <v>3674556.65</v>
      </c>
      <c r="F150">
        <v>0</v>
      </c>
      <c r="H150">
        <v>0</v>
      </c>
      <c r="J150" s="10">
        <v>3674556.65</v>
      </c>
      <c r="L150" s="1">
        <f t="shared" si="2"/>
        <v>3674556.65</v>
      </c>
      <c r="N150" s="6" t="str">
        <f>IF(ISERROR(VLOOKUP($A150,'Plano de Contas'!#REF!,8,FALSE)),"",VLOOKUP($A150,'Plano de Contas'!#REF!,8,FALSE))</f>
        <v/>
      </c>
      <c r="P150" s="6" t="str">
        <f>IF(ISERROR(VLOOKUP($A150,'Plano de Contas'!#REF!,10,FALSE)),"",VLOOKUP($A150,'Plano de Contas'!#REF!,10,FALSE))</f>
        <v/>
      </c>
    </row>
    <row r="151" spans="1:16" x14ac:dyDescent="0.25">
      <c r="A151" t="s">
        <v>269</v>
      </c>
      <c r="B151">
        <v>858</v>
      </c>
      <c r="C151" t="s">
        <v>270</v>
      </c>
      <c r="D151" s="10">
        <v>3190375.71</v>
      </c>
      <c r="F151">
        <v>0</v>
      </c>
      <c r="H151">
        <v>0</v>
      </c>
      <c r="J151" s="10">
        <f>3190375.71-1302914.84+3935363.79</f>
        <v>5822824.6600000001</v>
      </c>
      <c r="L151" s="1">
        <f t="shared" si="2"/>
        <v>5822824.6600000001</v>
      </c>
      <c r="N151" s="6" t="str">
        <f>IF(ISERROR(VLOOKUP($A151,'Plano de Contas'!#REF!,8,FALSE)),"",VLOOKUP($A151,'Plano de Contas'!#REF!,8,FALSE))</f>
        <v/>
      </c>
      <c r="P151" s="6" t="str">
        <f>IF(ISERROR(VLOOKUP($A151,'Plano de Contas'!#REF!,10,FALSE)),"",VLOOKUP($A151,'Plano de Contas'!#REF!,10,FALSE))</f>
        <v/>
      </c>
    </row>
    <row r="152" spans="1:16" x14ac:dyDescent="0.25">
      <c r="A152" t="s">
        <v>271</v>
      </c>
      <c r="B152">
        <v>859</v>
      </c>
      <c r="C152" t="s">
        <v>272</v>
      </c>
      <c r="D152" s="10">
        <v>484180.94</v>
      </c>
      <c r="F152">
        <v>0</v>
      </c>
      <c r="H152">
        <v>0</v>
      </c>
      <c r="J152" s="10">
        <f>484180.94-469049.34+1416730.97</f>
        <v>1431862.5699999998</v>
      </c>
      <c r="L152" s="1">
        <f t="shared" si="2"/>
        <v>1431862.5699999998</v>
      </c>
      <c r="N152" s="6" t="str">
        <f>IF(ISERROR(VLOOKUP($A152,'Plano de Contas'!#REF!,8,FALSE)),"",VLOOKUP($A152,'Plano de Contas'!#REF!,8,FALSE))</f>
        <v/>
      </c>
      <c r="P152" s="6" t="str">
        <f>IF(ISERROR(VLOOKUP($A152,'Plano de Contas'!#REF!,10,FALSE)),"",VLOOKUP($A152,'Plano de Contas'!#REF!,10,FALSE))</f>
        <v/>
      </c>
    </row>
    <row r="153" spans="1:16" x14ac:dyDescent="0.25">
      <c r="L153" s="1">
        <f t="shared" si="2"/>
        <v>0</v>
      </c>
      <c r="N153" s="6" t="str">
        <f>IF(ISERROR(VLOOKUP($A153,'Plano de Contas'!#REF!,8,FALSE)),"",VLOOKUP($A153,'Plano de Contas'!#REF!,8,FALSE))</f>
        <v/>
      </c>
      <c r="P153" s="6" t="str">
        <f>IF(ISERROR(VLOOKUP($A153,'Plano de Contas'!#REF!,10,FALSE)),"",VLOOKUP($A153,'Plano de Contas'!#REF!,10,FALSE))</f>
        <v/>
      </c>
    </row>
    <row r="154" spans="1:16" x14ac:dyDescent="0.25">
      <c r="A154" t="s">
        <v>273</v>
      </c>
      <c r="B154">
        <v>860</v>
      </c>
      <c r="C154" t="s">
        <v>274</v>
      </c>
      <c r="D154" s="10">
        <v>9433.5</v>
      </c>
      <c r="F154">
        <v>0</v>
      </c>
      <c r="H154">
        <v>0</v>
      </c>
      <c r="J154" s="10">
        <v>9433.5</v>
      </c>
      <c r="L154" s="1">
        <f t="shared" si="2"/>
        <v>9433.5</v>
      </c>
      <c r="N154" s="6" t="str">
        <f>IF(ISERROR(VLOOKUP($A154,'Plano de Contas'!#REF!,8,FALSE)),"",VLOOKUP($A154,'Plano de Contas'!#REF!,8,FALSE))</f>
        <v/>
      </c>
      <c r="P154" s="6" t="str">
        <f>IF(ISERROR(VLOOKUP($A154,'Plano de Contas'!#REF!,10,FALSE)),"",VLOOKUP($A154,'Plano de Contas'!#REF!,10,FALSE))</f>
        <v/>
      </c>
    </row>
    <row r="155" spans="1:16" x14ac:dyDescent="0.25">
      <c r="A155" t="s">
        <v>275</v>
      </c>
      <c r="B155">
        <v>861</v>
      </c>
      <c r="C155" t="s">
        <v>276</v>
      </c>
      <c r="D155" s="10">
        <v>9433.5</v>
      </c>
      <c r="F155">
        <v>0</v>
      </c>
      <c r="H155">
        <v>0</v>
      </c>
      <c r="J155" s="10">
        <v>9433.5</v>
      </c>
      <c r="L155" s="1">
        <f t="shared" si="2"/>
        <v>9433.5</v>
      </c>
      <c r="N155" s="6" t="str">
        <f>IF(ISERROR(VLOOKUP($A155,'Plano de Contas'!#REF!,8,FALSE)),"",VLOOKUP($A155,'Plano de Contas'!#REF!,8,FALSE))</f>
        <v/>
      </c>
      <c r="P155" s="6" t="str">
        <f>IF(ISERROR(VLOOKUP($A155,'Plano de Contas'!#REF!,10,FALSE)),"",VLOOKUP($A155,'Plano de Contas'!#REF!,10,FALSE))</f>
        <v/>
      </c>
    </row>
    <row r="156" spans="1:16" x14ac:dyDescent="0.25">
      <c r="L156" s="1">
        <f t="shared" si="2"/>
        <v>0</v>
      </c>
      <c r="N156" s="6" t="str">
        <f>IF(ISERROR(VLOOKUP($A156,'Plano de Contas'!#REF!,8,FALSE)),"",VLOOKUP($A156,'Plano de Contas'!#REF!,8,FALSE))</f>
        <v/>
      </c>
      <c r="P156" s="6" t="str">
        <f>IF(ISERROR(VLOOKUP($A156,'Plano de Contas'!#REF!,10,FALSE)),"",VLOOKUP($A156,'Plano de Contas'!#REF!,10,FALSE))</f>
        <v/>
      </c>
    </row>
    <row r="157" spans="1:16" x14ac:dyDescent="0.25">
      <c r="A157" t="s">
        <v>277</v>
      </c>
      <c r="B157">
        <v>863</v>
      </c>
      <c r="C157" t="s">
        <v>278</v>
      </c>
      <c r="D157">
        <v>414</v>
      </c>
      <c r="F157">
        <v>0</v>
      </c>
      <c r="H157">
        <v>414</v>
      </c>
      <c r="I157" t="s">
        <v>35</v>
      </c>
      <c r="J157">
        <v>0</v>
      </c>
      <c r="L157" s="1">
        <f t="shared" si="2"/>
        <v>0</v>
      </c>
      <c r="N157" s="6" t="str">
        <f>IF(ISERROR(VLOOKUP($A157,'Plano de Contas'!#REF!,8,FALSE)),"",VLOOKUP($A157,'Plano de Contas'!#REF!,8,FALSE))</f>
        <v/>
      </c>
      <c r="P157" s="6" t="str">
        <f>IF(ISERROR(VLOOKUP($A157,'Plano de Contas'!#REF!,10,FALSE)),"",VLOOKUP($A157,'Plano de Contas'!#REF!,10,FALSE))</f>
        <v/>
      </c>
    </row>
    <row r="158" spans="1:16" x14ac:dyDescent="0.25">
      <c r="A158" t="s">
        <v>279</v>
      </c>
      <c r="B158">
        <v>864</v>
      </c>
      <c r="C158" t="s">
        <v>280</v>
      </c>
      <c r="D158">
        <v>414</v>
      </c>
      <c r="F158">
        <v>0</v>
      </c>
      <c r="H158">
        <v>414</v>
      </c>
      <c r="I158" t="s">
        <v>35</v>
      </c>
      <c r="J158">
        <v>0</v>
      </c>
      <c r="L158" s="1">
        <f t="shared" si="2"/>
        <v>0</v>
      </c>
      <c r="N158" s="6" t="str">
        <f>IF(ISERROR(VLOOKUP($A158,'Plano de Contas'!#REF!,8,FALSE)),"",VLOOKUP($A158,'Plano de Contas'!#REF!,8,FALSE))</f>
        <v/>
      </c>
      <c r="P158" s="6" t="str">
        <f>IF(ISERROR(VLOOKUP($A158,'Plano de Contas'!#REF!,10,FALSE)),"",VLOOKUP($A158,'Plano de Contas'!#REF!,10,FALSE))</f>
        <v/>
      </c>
    </row>
    <row r="159" spans="1:16" x14ac:dyDescent="0.25">
      <c r="L159" s="1">
        <f t="shared" si="2"/>
        <v>0</v>
      </c>
      <c r="N159" s="6" t="str">
        <f>IF(ISERROR(VLOOKUP($A159,'Plano de Contas'!#REF!,8,FALSE)),"",VLOOKUP($A159,'Plano de Contas'!#REF!,8,FALSE))</f>
        <v/>
      </c>
      <c r="P159" s="6" t="str">
        <f>IF(ISERROR(VLOOKUP($A159,'Plano de Contas'!#REF!,10,FALSE)),"",VLOOKUP($A159,'Plano de Contas'!#REF!,10,FALSE))</f>
        <v/>
      </c>
    </row>
    <row r="160" spans="1:16" x14ac:dyDescent="0.25">
      <c r="A160" t="s">
        <v>281</v>
      </c>
      <c r="B160">
        <v>72</v>
      </c>
      <c r="C160" t="s">
        <v>282</v>
      </c>
      <c r="D160" s="10">
        <v>37574.050000000003</v>
      </c>
      <c r="F160">
        <v>0</v>
      </c>
      <c r="H160">
        <v>0</v>
      </c>
      <c r="J160" s="10">
        <v>37574.050000000003</v>
      </c>
      <c r="L160" s="1">
        <f t="shared" si="2"/>
        <v>37574.050000000003</v>
      </c>
      <c r="N160" s="6" t="str">
        <f>IF(ISERROR(VLOOKUP($A160,'Plano de Contas'!#REF!,8,FALSE)),"",VLOOKUP($A160,'Plano de Contas'!#REF!,8,FALSE))</f>
        <v/>
      </c>
      <c r="P160" s="6" t="str">
        <f>IF(ISERROR(VLOOKUP($A160,'Plano de Contas'!#REF!,10,FALSE)),"",VLOOKUP($A160,'Plano de Contas'!#REF!,10,FALSE))</f>
        <v/>
      </c>
    </row>
    <row r="161" spans="1:16" x14ac:dyDescent="0.25">
      <c r="L161" s="1">
        <f t="shared" si="2"/>
        <v>0</v>
      </c>
      <c r="N161" s="6" t="str">
        <f>IF(ISERROR(VLOOKUP($A161,'Plano de Contas'!#REF!,8,FALSE)),"",VLOOKUP($A161,'Plano de Contas'!#REF!,8,FALSE))</f>
        <v/>
      </c>
      <c r="P161" s="6" t="str">
        <f>IF(ISERROR(VLOOKUP($A161,'Plano de Contas'!#REF!,10,FALSE)),"",VLOOKUP($A161,'Plano de Contas'!#REF!,10,FALSE))</f>
        <v/>
      </c>
    </row>
    <row r="162" spans="1:16" x14ac:dyDescent="0.25">
      <c r="A162" t="s">
        <v>283</v>
      </c>
      <c r="B162">
        <v>73</v>
      </c>
      <c r="C162" t="s">
        <v>284</v>
      </c>
      <c r="D162" s="10">
        <v>36414.07</v>
      </c>
      <c r="F162">
        <v>0</v>
      </c>
      <c r="H162">
        <v>0</v>
      </c>
      <c r="J162" s="10">
        <v>36414.07</v>
      </c>
      <c r="L162" s="1">
        <f t="shared" si="2"/>
        <v>36414.07</v>
      </c>
      <c r="N162" s="6" t="str">
        <f>IF(ISERROR(VLOOKUP($A162,'Plano de Contas'!#REF!,8,FALSE)),"",VLOOKUP($A162,'Plano de Contas'!#REF!,8,FALSE))</f>
        <v/>
      </c>
      <c r="P162" s="6" t="str">
        <f>IF(ISERROR(VLOOKUP($A162,'Plano de Contas'!#REF!,10,FALSE)),"",VLOOKUP($A162,'Plano de Contas'!#REF!,10,FALSE))</f>
        <v/>
      </c>
    </row>
    <row r="163" spans="1:16" x14ac:dyDescent="0.25">
      <c r="A163" t="s">
        <v>285</v>
      </c>
      <c r="B163">
        <v>74</v>
      </c>
      <c r="C163" t="s">
        <v>286</v>
      </c>
      <c r="D163" s="10">
        <v>18164.060000000001</v>
      </c>
      <c r="F163">
        <v>0</v>
      </c>
      <c r="H163">
        <v>0</v>
      </c>
      <c r="J163" s="10">
        <v>18164.060000000001</v>
      </c>
      <c r="L163" s="1">
        <f t="shared" si="2"/>
        <v>18164.060000000001</v>
      </c>
      <c r="N163" s="6" t="str">
        <f>IF(ISERROR(VLOOKUP($A163,'Plano de Contas'!#REF!,8,FALSE)),"",VLOOKUP($A163,'Plano de Contas'!#REF!,8,FALSE))</f>
        <v/>
      </c>
      <c r="P163" s="6" t="str">
        <f>IF(ISERROR(VLOOKUP($A163,'Plano de Contas'!#REF!,10,FALSE)),"",VLOOKUP($A163,'Plano de Contas'!#REF!,10,FALSE))</f>
        <v/>
      </c>
    </row>
    <row r="164" spans="1:16" x14ac:dyDescent="0.25">
      <c r="A164" t="s">
        <v>287</v>
      </c>
      <c r="B164">
        <v>75</v>
      </c>
      <c r="C164" t="s">
        <v>288</v>
      </c>
      <c r="D164" s="10">
        <v>18250.009999999998</v>
      </c>
      <c r="F164">
        <v>0</v>
      </c>
      <c r="H164">
        <v>0</v>
      </c>
      <c r="J164" s="10">
        <v>18250.009999999998</v>
      </c>
      <c r="L164" s="1">
        <f t="shared" si="2"/>
        <v>18250.009999999998</v>
      </c>
      <c r="N164" s="6" t="str">
        <f>IF(ISERROR(VLOOKUP($A164,'Plano de Contas'!#REF!,8,FALSE)),"",VLOOKUP($A164,'Plano de Contas'!#REF!,8,FALSE))</f>
        <v/>
      </c>
      <c r="P164" s="6" t="str">
        <f>IF(ISERROR(VLOOKUP($A164,'Plano de Contas'!#REF!,10,FALSE)),"",VLOOKUP($A164,'Plano de Contas'!#REF!,10,FALSE))</f>
        <v/>
      </c>
    </row>
    <row r="165" spans="1:16" x14ac:dyDescent="0.25">
      <c r="L165" s="1">
        <f t="shared" si="2"/>
        <v>0</v>
      </c>
      <c r="N165" s="6" t="str">
        <f>IF(ISERROR(VLOOKUP($A165,'Plano de Contas'!#REF!,8,FALSE)),"",VLOOKUP($A165,'Plano de Contas'!#REF!,8,FALSE))</f>
        <v/>
      </c>
      <c r="P165" s="6" t="str">
        <f>IF(ISERROR(VLOOKUP($A165,'Plano de Contas'!#REF!,10,FALSE)),"",VLOOKUP($A165,'Plano de Contas'!#REF!,10,FALSE))</f>
        <v/>
      </c>
    </row>
    <row r="166" spans="1:16" x14ac:dyDescent="0.25">
      <c r="A166" t="s">
        <v>289</v>
      </c>
      <c r="B166">
        <v>76</v>
      </c>
      <c r="C166" t="s">
        <v>290</v>
      </c>
      <c r="D166" s="10">
        <v>3216838.38</v>
      </c>
      <c r="F166">
        <v>0</v>
      </c>
      <c r="H166">
        <v>0</v>
      </c>
      <c r="J166" s="10">
        <v>3216838.38</v>
      </c>
      <c r="L166" s="1">
        <f t="shared" si="2"/>
        <v>3216838.38</v>
      </c>
      <c r="N166" s="6" t="str">
        <f>IF(ISERROR(VLOOKUP($A166,'Plano de Contas'!#REF!,8,FALSE)),"",VLOOKUP($A166,'Plano de Contas'!#REF!,8,FALSE))</f>
        <v/>
      </c>
      <c r="P166" s="6" t="str">
        <f>IF(ISERROR(VLOOKUP($A166,'Plano de Contas'!#REF!,10,FALSE)),"",VLOOKUP($A166,'Plano de Contas'!#REF!,10,FALSE))</f>
        <v/>
      </c>
    </row>
    <row r="167" spans="1:16" x14ac:dyDescent="0.25">
      <c r="A167" t="s">
        <v>291</v>
      </c>
      <c r="B167">
        <v>77</v>
      </c>
      <c r="C167" t="s">
        <v>292</v>
      </c>
      <c r="D167" s="10">
        <v>3216418.22</v>
      </c>
      <c r="F167">
        <v>0</v>
      </c>
      <c r="H167">
        <v>0</v>
      </c>
      <c r="J167" s="10">
        <v>3216418.22</v>
      </c>
      <c r="L167" s="1">
        <f t="shared" si="2"/>
        <v>3216418.22</v>
      </c>
      <c r="N167" s="6" t="str">
        <f>IF(ISERROR(VLOOKUP($A167,'Plano de Contas'!#REF!,8,FALSE)),"",VLOOKUP($A167,'Plano de Contas'!#REF!,8,FALSE))</f>
        <v/>
      </c>
      <c r="P167" s="6" t="str">
        <f>IF(ISERROR(VLOOKUP($A167,'Plano de Contas'!#REF!,10,FALSE)),"",VLOOKUP($A167,'Plano de Contas'!#REF!,10,FALSE))</f>
        <v/>
      </c>
    </row>
    <row r="168" spans="1:16" x14ac:dyDescent="0.25">
      <c r="A168" t="s">
        <v>293</v>
      </c>
      <c r="B168">
        <v>78</v>
      </c>
      <c r="C168" t="s">
        <v>294</v>
      </c>
      <c r="D168">
        <v>420.16</v>
      </c>
      <c r="F168">
        <v>0</v>
      </c>
      <c r="H168">
        <v>0</v>
      </c>
      <c r="J168">
        <v>420.16</v>
      </c>
      <c r="L168" s="1">
        <f t="shared" si="2"/>
        <v>420.16</v>
      </c>
      <c r="N168" s="6" t="str">
        <f>IF(ISERROR(VLOOKUP($A168,'Plano de Contas'!#REF!,8,FALSE)),"",VLOOKUP($A168,'Plano de Contas'!#REF!,8,FALSE))</f>
        <v/>
      </c>
      <c r="P168" s="6" t="str">
        <f>IF(ISERROR(VLOOKUP($A168,'Plano de Contas'!#REF!,10,FALSE)),"",VLOOKUP($A168,'Plano de Contas'!#REF!,10,FALSE))</f>
        <v/>
      </c>
    </row>
    <row r="169" spans="1:16" x14ac:dyDescent="0.25">
      <c r="L169" s="1">
        <f t="shared" si="2"/>
        <v>0</v>
      </c>
      <c r="N169" s="6" t="str">
        <f>IF(ISERROR(VLOOKUP($A169,'Plano de Contas'!#REF!,8,FALSE)),"",VLOOKUP($A169,'Plano de Contas'!#REF!,8,FALSE))</f>
        <v/>
      </c>
      <c r="P169" s="6" t="str">
        <f>IF(ISERROR(VLOOKUP($A169,'Plano de Contas'!#REF!,10,FALSE)),"",VLOOKUP($A169,'Plano de Contas'!#REF!,10,FALSE))</f>
        <v/>
      </c>
    </row>
    <row r="170" spans="1:16" x14ac:dyDescent="0.25">
      <c r="A170" t="s">
        <v>295</v>
      </c>
      <c r="B170">
        <v>456</v>
      </c>
      <c r="C170" t="s">
        <v>296</v>
      </c>
      <c r="D170" s="10">
        <v>3215678.4</v>
      </c>
      <c r="E170" t="s">
        <v>35</v>
      </c>
      <c r="F170">
        <v>0</v>
      </c>
      <c r="H170">
        <v>0</v>
      </c>
      <c r="J170" s="10">
        <v>3215678.4</v>
      </c>
      <c r="K170" t="s">
        <v>35</v>
      </c>
      <c r="L170" s="1">
        <f t="shared" si="2"/>
        <v>-3215678.4</v>
      </c>
      <c r="N170" s="6" t="str">
        <f>IF(ISERROR(VLOOKUP($A170,'Plano de Contas'!#REF!,8,FALSE)),"",VLOOKUP($A170,'Plano de Contas'!#REF!,8,FALSE))</f>
        <v/>
      </c>
      <c r="P170" s="6" t="str">
        <f>IF(ISERROR(VLOOKUP($A170,'Plano de Contas'!#REF!,10,FALSE)),"",VLOOKUP($A170,'Plano de Contas'!#REF!,10,FALSE))</f>
        <v/>
      </c>
    </row>
    <row r="171" spans="1:16" x14ac:dyDescent="0.25">
      <c r="A171" t="s">
        <v>297</v>
      </c>
      <c r="B171">
        <v>457</v>
      </c>
      <c r="C171" t="s">
        <v>298</v>
      </c>
      <c r="D171" s="10">
        <v>3215678.4</v>
      </c>
      <c r="E171" t="s">
        <v>35</v>
      </c>
      <c r="F171">
        <v>0</v>
      </c>
      <c r="H171">
        <v>0</v>
      </c>
      <c r="J171" s="10">
        <v>3215678.4</v>
      </c>
      <c r="K171" t="s">
        <v>35</v>
      </c>
      <c r="L171" s="1">
        <f t="shared" si="2"/>
        <v>-3215678.4</v>
      </c>
      <c r="N171" s="6" t="str">
        <f>IF(ISERROR(VLOOKUP($A171,'Plano de Contas'!#REF!,8,FALSE)),"",VLOOKUP($A171,'Plano de Contas'!#REF!,8,FALSE))</f>
        <v/>
      </c>
      <c r="P171" s="6" t="str">
        <f>IF(ISERROR(VLOOKUP($A171,'Plano de Contas'!#REF!,10,FALSE)),"",VLOOKUP($A171,'Plano de Contas'!#REF!,10,FALSE))</f>
        <v/>
      </c>
    </row>
    <row r="172" spans="1:16" x14ac:dyDescent="0.25">
      <c r="L172" s="1">
        <f t="shared" si="2"/>
        <v>0</v>
      </c>
      <c r="N172" s="6" t="str">
        <f>IF(ISERROR(VLOOKUP($A172,'Plano de Contas'!#REF!,8,FALSE)),"",VLOOKUP($A172,'Plano de Contas'!#REF!,8,FALSE))</f>
        <v/>
      </c>
      <c r="P172" s="6" t="str">
        <f>IF(ISERROR(VLOOKUP($A172,'Plano de Contas'!#REF!,10,FALSE)),"",VLOOKUP($A172,'Plano de Contas'!#REF!,10,FALSE))</f>
        <v/>
      </c>
    </row>
    <row r="173" spans="1:16" x14ac:dyDescent="0.25">
      <c r="A173" t="s">
        <v>299</v>
      </c>
      <c r="B173">
        <v>79</v>
      </c>
      <c r="C173" t="s">
        <v>300</v>
      </c>
      <c r="D173" s="10">
        <v>2827578044</v>
      </c>
      <c r="F173" s="10">
        <v>3214086119.6799998</v>
      </c>
      <c r="H173" s="10">
        <v>1024816794.26</v>
      </c>
      <c r="I173" t="s">
        <v>35</v>
      </c>
      <c r="J173" s="10">
        <v>5016847369.4200001</v>
      </c>
      <c r="L173" s="1">
        <f t="shared" si="2"/>
        <v>5016847369.4200001</v>
      </c>
      <c r="N173" s="6" t="str">
        <f>IF(ISERROR(VLOOKUP($A173,'Plano de Contas'!#REF!,8,FALSE)),"",VLOOKUP($A173,'Plano de Contas'!#REF!,8,FALSE))</f>
        <v/>
      </c>
      <c r="P173" s="6" t="str">
        <f>IF(ISERROR(VLOOKUP($A173,'Plano de Contas'!#REF!,10,FALSE)),"",VLOOKUP($A173,'Plano de Contas'!#REF!,10,FALSE))</f>
        <v/>
      </c>
    </row>
    <row r="174" spans="1:16" x14ac:dyDescent="0.25">
      <c r="L174" s="1">
        <f t="shared" si="2"/>
        <v>0</v>
      </c>
      <c r="N174" s="6" t="str">
        <f>IF(ISERROR(VLOOKUP($A174,'Plano de Contas'!#REF!,8,FALSE)),"",VLOOKUP($A174,'Plano de Contas'!#REF!,8,FALSE))</f>
        <v/>
      </c>
      <c r="P174" s="6" t="str">
        <f>IF(ISERROR(VLOOKUP($A174,'Plano de Contas'!#REF!,10,FALSE)),"",VLOOKUP($A174,'Plano de Contas'!#REF!,10,FALSE))</f>
        <v/>
      </c>
    </row>
    <row r="175" spans="1:16" x14ac:dyDescent="0.25">
      <c r="A175" t="s">
        <v>301</v>
      </c>
      <c r="B175">
        <v>80</v>
      </c>
      <c r="C175" t="s">
        <v>302</v>
      </c>
      <c r="D175" s="10">
        <v>933294507.36000001</v>
      </c>
      <c r="F175" s="10">
        <v>1007763014.8200001</v>
      </c>
      <c r="H175" s="10">
        <v>644657943.35000002</v>
      </c>
      <c r="I175" t="s">
        <v>35</v>
      </c>
      <c r="J175" s="10">
        <v>1296399578.8299999</v>
      </c>
      <c r="L175" s="1">
        <f t="shared" si="2"/>
        <v>1296399578.8299999</v>
      </c>
      <c r="N175" s="6" t="str">
        <f>IF(ISERROR(VLOOKUP($A175,'Plano de Contas'!#REF!,8,FALSE)),"",VLOOKUP($A175,'Plano de Contas'!#REF!,8,FALSE))</f>
        <v/>
      </c>
      <c r="P175" s="6" t="str">
        <f>IF(ISERROR(VLOOKUP($A175,'Plano de Contas'!#REF!,10,FALSE)),"",VLOOKUP($A175,'Plano de Contas'!#REF!,10,FALSE))</f>
        <v/>
      </c>
    </row>
    <row r="176" spans="1:16" x14ac:dyDescent="0.25">
      <c r="A176" t="s">
        <v>303</v>
      </c>
      <c r="B176">
        <v>82</v>
      </c>
      <c r="C176" t="s">
        <v>193</v>
      </c>
      <c r="D176" s="10">
        <v>62181327.93</v>
      </c>
      <c r="F176" s="10">
        <v>1642935.26</v>
      </c>
      <c r="H176">
        <v>0</v>
      </c>
      <c r="J176" s="10">
        <v>63824263.189999998</v>
      </c>
      <c r="L176" s="1">
        <f t="shared" si="2"/>
        <v>63824263.189999998</v>
      </c>
      <c r="N176" s="6" t="str">
        <f>IF(ISERROR(VLOOKUP($A176,'Plano de Contas'!#REF!,8,FALSE)),"",VLOOKUP($A176,'Plano de Contas'!#REF!,8,FALSE))</f>
        <v/>
      </c>
      <c r="P176" s="6" t="str">
        <f>IF(ISERROR(VLOOKUP($A176,'Plano de Contas'!#REF!,10,FALSE)),"",VLOOKUP($A176,'Plano de Contas'!#REF!,10,FALSE))</f>
        <v/>
      </c>
    </row>
    <row r="177" spans="1:16" x14ac:dyDescent="0.25">
      <c r="A177" t="s">
        <v>304</v>
      </c>
      <c r="B177">
        <v>83</v>
      </c>
      <c r="C177" t="s">
        <v>305</v>
      </c>
      <c r="D177" s="10">
        <v>4642772.51</v>
      </c>
      <c r="F177">
        <v>0</v>
      </c>
      <c r="H177">
        <v>0</v>
      </c>
      <c r="J177" s="10">
        <v>4642772.51</v>
      </c>
      <c r="L177" s="1">
        <f t="shared" si="2"/>
        <v>4642772.51</v>
      </c>
      <c r="N177" s="6" t="str">
        <f>IF(ISERROR(VLOOKUP($A177,'Plano de Contas'!#REF!,8,FALSE)),"",VLOOKUP($A177,'Plano de Contas'!#REF!,8,FALSE))</f>
        <v/>
      </c>
      <c r="P177" s="6" t="str">
        <f>IF(ISERROR(VLOOKUP($A177,'Plano de Contas'!#REF!,10,FALSE)),"",VLOOKUP($A177,'Plano de Contas'!#REF!,10,FALSE))</f>
        <v/>
      </c>
    </row>
    <row r="178" spans="1:16" x14ac:dyDescent="0.25">
      <c r="A178" t="s">
        <v>306</v>
      </c>
      <c r="B178">
        <v>84</v>
      </c>
      <c r="C178" t="s">
        <v>307</v>
      </c>
      <c r="D178" s="10">
        <v>102915333.89</v>
      </c>
      <c r="F178" s="10">
        <v>3065116.89</v>
      </c>
      <c r="H178" s="10">
        <v>1370192.03</v>
      </c>
      <c r="J178" s="10">
        <v>104610258.75</v>
      </c>
      <c r="L178" s="1">
        <f t="shared" si="2"/>
        <v>104610258.75</v>
      </c>
      <c r="N178" s="6" t="str">
        <f>IF(ISERROR(VLOOKUP($A178,'Plano de Contas'!#REF!,8,FALSE)),"",VLOOKUP($A178,'Plano de Contas'!#REF!,8,FALSE))</f>
        <v/>
      </c>
      <c r="P178" s="6" t="str">
        <f>IF(ISERROR(VLOOKUP($A178,'Plano de Contas'!#REF!,10,FALSE)),"",VLOOKUP($A178,'Plano de Contas'!#REF!,10,FALSE))</f>
        <v/>
      </c>
    </row>
    <row r="179" spans="1:16" x14ac:dyDescent="0.25">
      <c r="A179" t="s">
        <v>308</v>
      </c>
      <c r="B179">
        <v>85</v>
      </c>
      <c r="C179" t="s">
        <v>309</v>
      </c>
      <c r="D179" s="10">
        <v>10173977.710000001</v>
      </c>
      <c r="F179" s="10">
        <v>131809.38</v>
      </c>
      <c r="H179" s="10">
        <v>9800985.9399999995</v>
      </c>
      <c r="I179" t="s">
        <v>35</v>
      </c>
      <c r="J179" s="10">
        <v>504801.15</v>
      </c>
      <c r="L179" s="1">
        <f t="shared" si="2"/>
        <v>504801.15</v>
      </c>
      <c r="N179" s="6" t="str">
        <f>IF(ISERROR(VLOOKUP($A179,'Plano de Contas'!#REF!,8,FALSE)),"",VLOOKUP($A179,'Plano de Contas'!#REF!,8,FALSE))</f>
        <v/>
      </c>
      <c r="P179" s="6" t="str">
        <f>IF(ISERROR(VLOOKUP($A179,'Plano de Contas'!#REF!,10,FALSE)),"",VLOOKUP($A179,'Plano de Contas'!#REF!,10,FALSE))</f>
        <v/>
      </c>
    </row>
    <row r="180" spans="1:16" x14ac:dyDescent="0.25">
      <c r="A180" t="s">
        <v>310</v>
      </c>
      <c r="B180">
        <v>86</v>
      </c>
      <c r="C180" t="s">
        <v>311</v>
      </c>
      <c r="D180" s="10">
        <v>800636.5</v>
      </c>
      <c r="F180" s="10">
        <v>131123.26999999999</v>
      </c>
      <c r="H180" s="10">
        <v>636073.06000000006</v>
      </c>
      <c r="J180" s="10">
        <v>295686.71000000002</v>
      </c>
      <c r="L180" s="1">
        <f t="shared" si="2"/>
        <v>295686.71000000002</v>
      </c>
      <c r="N180" s="6" t="str">
        <f>IF(ISERROR(VLOOKUP($A180,'Plano de Contas'!#REF!,8,FALSE)),"",VLOOKUP($A180,'Plano de Contas'!#REF!,8,FALSE))</f>
        <v/>
      </c>
      <c r="P180" s="6" t="str">
        <f>IF(ISERROR(VLOOKUP($A180,'Plano de Contas'!#REF!,10,FALSE)),"",VLOOKUP($A180,'Plano de Contas'!#REF!,10,FALSE))</f>
        <v/>
      </c>
    </row>
    <row r="181" spans="1:16" x14ac:dyDescent="0.25">
      <c r="A181" t="s">
        <v>312</v>
      </c>
      <c r="B181">
        <v>87</v>
      </c>
      <c r="C181" t="s">
        <v>313</v>
      </c>
      <c r="D181" s="10">
        <v>6359005.9900000002</v>
      </c>
      <c r="F181">
        <v>0</v>
      </c>
      <c r="H181">
        <v>0</v>
      </c>
      <c r="J181" s="10">
        <v>6359005.9900000002</v>
      </c>
      <c r="L181" s="1">
        <f t="shared" si="2"/>
        <v>6359005.9900000002</v>
      </c>
      <c r="N181" s="6" t="str">
        <f>IF(ISERROR(VLOOKUP($A181,'Plano de Contas'!#REF!,8,FALSE)),"",VLOOKUP($A181,'Plano de Contas'!#REF!,8,FALSE))</f>
        <v/>
      </c>
      <c r="P181" s="6" t="str">
        <f>IF(ISERROR(VLOOKUP($A181,'Plano de Contas'!#REF!,10,FALSE)),"",VLOOKUP($A181,'Plano de Contas'!#REF!,10,FALSE))</f>
        <v/>
      </c>
    </row>
    <row r="182" spans="1:16" x14ac:dyDescent="0.25">
      <c r="A182" t="s">
        <v>314</v>
      </c>
      <c r="B182">
        <v>460</v>
      </c>
      <c r="C182" t="s">
        <v>315</v>
      </c>
      <c r="D182" s="10">
        <v>1871809.97</v>
      </c>
      <c r="F182" s="10">
        <v>2199</v>
      </c>
      <c r="H182">
        <v>0</v>
      </c>
      <c r="J182" s="10">
        <v>1874008.97</v>
      </c>
      <c r="L182" s="1">
        <f t="shared" si="2"/>
        <v>1874008.97</v>
      </c>
      <c r="N182" s="6" t="str">
        <f>IF(ISERROR(VLOOKUP($A182,'Plano de Contas'!#REF!,8,FALSE)),"",VLOOKUP($A182,'Plano de Contas'!#REF!,8,FALSE))</f>
        <v/>
      </c>
      <c r="P182" s="6" t="str">
        <f>IF(ISERROR(VLOOKUP($A182,'Plano de Contas'!#REF!,10,FALSE)),"",VLOOKUP($A182,'Plano de Contas'!#REF!,10,FALSE))</f>
        <v/>
      </c>
    </row>
    <row r="183" spans="1:16" x14ac:dyDescent="0.25">
      <c r="A183" t="s">
        <v>316</v>
      </c>
      <c r="B183">
        <v>464</v>
      </c>
      <c r="C183" t="s">
        <v>317</v>
      </c>
      <c r="D183" s="10">
        <v>553845.34</v>
      </c>
      <c r="F183">
        <v>0</v>
      </c>
      <c r="H183">
        <v>0</v>
      </c>
      <c r="J183" s="10">
        <v>553845.34</v>
      </c>
      <c r="L183" s="1">
        <f t="shared" si="2"/>
        <v>553845.34</v>
      </c>
      <c r="N183" s="6" t="str">
        <f>IF(ISERROR(VLOOKUP($A183,'Plano de Contas'!#REF!,8,FALSE)),"",VLOOKUP($A183,'Plano de Contas'!#REF!,8,FALSE))</f>
        <v/>
      </c>
      <c r="P183" s="6" t="str">
        <f>IF(ISERROR(VLOOKUP($A183,'Plano de Contas'!#REF!,10,FALSE)),"",VLOOKUP($A183,'Plano de Contas'!#REF!,10,FALSE))</f>
        <v/>
      </c>
    </row>
    <row r="184" spans="1:16" x14ac:dyDescent="0.25">
      <c r="A184" t="s">
        <v>318</v>
      </c>
      <c r="B184">
        <v>617</v>
      </c>
      <c r="C184" t="s">
        <v>319</v>
      </c>
      <c r="D184" s="10">
        <v>99588124.569999993</v>
      </c>
      <c r="F184">
        <v>0</v>
      </c>
      <c r="H184" s="10">
        <v>99588124.569999993</v>
      </c>
      <c r="I184" t="s">
        <v>35</v>
      </c>
      <c r="J184">
        <v>0</v>
      </c>
      <c r="L184" s="1">
        <f t="shared" si="2"/>
        <v>0</v>
      </c>
      <c r="N184" s="6" t="str">
        <f>IF(ISERROR(VLOOKUP($A184,'Plano de Contas'!#REF!,8,FALSE)),"",VLOOKUP($A184,'Plano de Contas'!#REF!,8,FALSE))</f>
        <v/>
      </c>
      <c r="P184" s="6" t="str">
        <f>IF(ISERROR(VLOOKUP($A184,'Plano de Contas'!#REF!,10,FALSE)),"",VLOOKUP($A184,'Plano de Contas'!#REF!,10,FALSE))</f>
        <v/>
      </c>
    </row>
    <row r="185" spans="1:16" x14ac:dyDescent="0.25">
      <c r="A185" t="s">
        <v>320</v>
      </c>
      <c r="B185">
        <v>618</v>
      </c>
      <c r="C185" t="s">
        <v>321</v>
      </c>
      <c r="D185" s="10">
        <v>11065347.17</v>
      </c>
      <c r="F185">
        <v>0</v>
      </c>
      <c r="H185" s="10">
        <v>11065347.17</v>
      </c>
      <c r="I185" t="s">
        <v>35</v>
      </c>
      <c r="J185">
        <v>0</v>
      </c>
      <c r="L185" s="1">
        <f t="shared" si="2"/>
        <v>0</v>
      </c>
      <c r="N185" s="6" t="str">
        <f>IF(ISERROR(VLOOKUP($A185,'Plano de Contas'!#REF!,8,FALSE)),"",VLOOKUP($A185,'Plano de Contas'!#REF!,8,FALSE))</f>
        <v/>
      </c>
      <c r="P185" s="6" t="str">
        <f>IF(ISERROR(VLOOKUP($A185,'Plano de Contas'!#REF!,10,FALSE)),"",VLOOKUP($A185,'Plano de Contas'!#REF!,10,FALSE))</f>
        <v/>
      </c>
    </row>
    <row r="186" spans="1:16" x14ac:dyDescent="0.25">
      <c r="A186" t="s">
        <v>322</v>
      </c>
      <c r="B186">
        <v>691</v>
      </c>
      <c r="C186" t="s">
        <v>323</v>
      </c>
      <c r="D186" s="10">
        <v>60904.55</v>
      </c>
      <c r="F186">
        <v>0</v>
      </c>
      <c r="H186">
        <v>0</v>
      </c>
      <c r="J186" s="10">
        <v>60904.55</v>
      </c>
      <c r="L186" s="1">
        <f t="shared" si="2"/>
        <v>60904.55</v>
      </c>
      <c r="N186" s="6" t="str">
        <f>IF(ISERROR(VLOOKUP($A186,'Plano de Contas'!#REF!,8,FALSE)),"",VLOOKUP($A186,'Plano de Contas'!#REF!,8,FALSE))</f>
        <v/>
      </c>
      <c r="P186" s="6" t="str">
        <f>IF(ISERROR(VLOOKUP($A186,'Plano de Contas'!#REF!,10,FALSE)),"",VLOOKUP($A186,'Plano de Contas'!#REF!,10,FALSE))</f>
        <v/>
      </c>
    </row>
    <row r="187" spans="1:16" x14ac:dyDescent="0.25">
      <c r="A187" t="s">
        <v>326</v>
      </c>
      <c r="B187">
        <v>744</v>
      </c>
      <c r="C187" t="s">
        <v>327</v>
      </c>
      <c r="D187" s="10">
        <v>16760854.310000001</v>
      </c>
      <c r="F187">
        <v>0</v>
      </c>
      <c r="H187" s="10">
        <v>16760854.310000001</v>
      </c>
      <c r="J187">
        <v>0</v>
      </c>
      <c r="L187" s="1">
        <f t="shared" si="2"/>
        <v>0</v>
      </c>
      <c r="N187" s="6" t="str">
        <f>IF(ISERROR(VLOOKUP($A187,'Plano de Contas'!#REF!,8,FALSE)),"",VLOOKUP($A187,'Plano de Contas'!#REF!,8,FALSE))</f>
        <v/>
      </c>
      <c r="P187" s="6" t="str">
        <f>IF(ISERROR(VLOOKUP($A187,'Plano de Contas'!#REF!,10,FALSE)),"",VLOOKUP($A187,'Plano de Contas'!#REF!,10,FALSE))</f>
        <v/>
      </c>
    </row>
    <row r="188" spans="1:16" x14ac:dyDescent="0.25">
      <c r="A188" t="s">
        <v>328</v>
      </c>
      <c r="B188">
        <v>745</v>
      </c>
      <c r="C188" t="s">
        <v>329</v>
      </c>
      <c r="D188" s="10">
        <v>60074480.219999999</v>
      </c>
      <c r="F188">
        <v>0</v>
      </c>
      <c r="H188">
        <v>0</v>
      </c>
      <c r="J188" s="10">
        <v>60074480.219999999</v>
      </c>
      <c r="L188" s="1">
        <f t="shared" si="2"/>
        <v>60074480.219999999</v>
      </c>
      <c r="N188" s="6" t="str">
        <f>IF(ISERROR(VLOOKUP($A188,'Plano de Contas'!#REF!,8,FALSE)),"",VLOOKUP($A188,'Plano de Contas'!#REF!,8,FALSE))</f>
        <v/>
      </c>
      <c r="P188" s="6" t="str">
        <f>IF(ISERROR(VLOOKUP($A188,'Plano de Contas'!#REF!,10,FALSE)),"",VLOOKUP($A188,'Plano de Contas'!#REF!,10,FALSE))</f>
        <v/>
      </c>
    </row>
    <row r="189" spans="1:16" x14ac:dyDescent="0.25">
      <c r="A189" t="s">
        <v>330</v>
      </c>
      <c r="B189">
        <v>756</v>
      </c>
      <c r="C189" t="s">
        <v>331</v>
      </c>
      <c r="D189" s="10">
        <v>110029955.69</v>
      </c>
      <c r="F189">
        <v>0</v>
      </c>
      <c r="H189" s="10">
        <v>110029955.69</v>
      </c>
      <c r="I189" t="s">
        <v>35</v>
      </c>
      <c r="J189">
        <v>0</v>
      </c>
      <c r="L189" s="1">
        <f t="shared" si="2"/>
        <v>0</v>
      </c>
      <c r="N189" s="6" t="str">
        <f>IF(ISERROR(VLOOKUP($A189,'Plano de Contas'!#REF!,8,FALSE)),"",VLOOKUP($A189,'Plano de Contas'!#REF!,8,FALSE))</f>
        <v/>
      </c>
      <c r="P189" s="6" t="str">
        <f>IF(ISERROR(VLOOKUP($A189,'Plano de Contas'!#REF!,10,FALSE)),"",VLOOKUP($A189,'Plano de Contas'!#REF!,10,FALSE))</f>
        <v/>
      </c>
    </row>
    <row r="190" spans="1:16" x14ac:dyDescent="0.25">
      <c r="A190" t="s">
        <v>332</v>
      </c>
      <c r="B190">
        <v>764</v>
      </c>
      <c r="C190" t="s">
        <v>333</v>
      </c>
      <c r="D190" s="10">
        <v>144772.85999999999</v>
      </c>
      <c r="F190">
        <v>0</v>
      </c>
      <c r="H190" s="10">
        <v>144772.85999999999</v>
      </c>
      <c r="I190" t="s">
        <v>35</v>
      </c>
      <c r="J190">
        <v>0</v>
      </c>
      <c r="L190" s="1">
        <f t="shared" si="2"/>
        <v>0</v>
      </c>
      <c r="N190" s="6" t="str">
        <f>IF(ISERROR(VLOOKUP($A190,'Plano de Contas'!#REF!,8,FALSE)),"",VLOOKUP($A190,'Plano de Contas'!#REF!,8,FALSE))</f>
        <v/>
      </c>
      <c r="P190" s="6" t="str">
        <f>IF(ISERROR(VLOOKUP($A190,'Plano de Contas'!#REF!,10,FALSE)),"",VLOOKUP($A190,'Plano de Contas'!#REF!,10,FALSE))</f>
        <v/>
      </c>
    </row>
    <row r="191" spans="1:16" x14ac:dyDescent="0.25">
      <c r="A191" t="s">
        <v>334</v>
      </c>
      <c r="B191">
        <v>766</v>
      </c>
      <c r="C191" t="s">
        <v>335</v>
      </c>
      <c r="D191" s="10">
        <v>384841876.51999998</v>
      </c>
      <c r="F191">
        <v>0</v>
      </c>
      <c r="H191" s="10">
        <v>384841876.51999998</v>
      </c>
      <c r="I191" t="s">
        <v>35</v>
      </c>
      <c r="J191">
        <v>0</v>
      </c>
      <c r="L191" s="1">
        <f t="shared" si="2"/>
        <v>0</v>
      </c>
      <c r="N191" s="6" t="str">
        <f>IF(ISERROR(VLOOKUP($A191,'Plano de Contas'!#REF!,8,FALSE)),"",VLOOKUP($A191,'Plano de Contas'!#REF!,8,FALSE))</f>
        <v/>
      </c>
      <c r="P191" s="6" t="str">
        <f>IF(ISERROR(VLOOKUP($A191,'Plano de Contas'!#REF!,10,FALSE)),"",VLOOKUP($A191,'Plano de Contas'!#REF!,10,FALSE))</f>
        <v/>
      </c>
    </row>
    <row r="192" spans="1:16" x14ac:dyDescent="0.25">
      <c r="A192" t="s">
        <v>336</v>
      </c>
      <c r="B192">
        <v>792</v>
      </c>
      <c r="C192" t="s">
        <v>337</v>
      </c>
      <c r="D192" s="10">
        <v>20510552.210000001</v>
      </c>
      <c r="F192">
        <v>0</v>
      </c>
      <c r="H192">
        <v>0</v>
      </c>
      <c r="J192" s="10">
        <v>20510552.210000001</v>
      </c>
      <c r="L192" s="1">
        <f t="shared" si="2"/>
        <v>20510552.210000001</v>
      </c>
      <c r="N192" s="6" t="str">
        <f>IF(ISERROR(VLOOKUP($A192,'Plano de Contas'!#REF!,8,FALSE)),"",VLOOKUP($A192,'Plano de Contas'!#REF!,8,FALSE))</f>
        <v/>
      </c>
      <c r="P192" s="6" t="str">
        <f>IF(ISERROR(VLOOKUP($A192,'Plano de Contas'!#REF!,10,FALSE)),"",VLOOKUP($A192,'Plano de Contas'!#REF!,10,FALSE))</f>
        <v/>
      </c>
    </row>
    <row r="193" spans="1:16" x14ac:dyDescent="0.25">
      <c r="A193" t="s">
        <v>338</v>
      </c>
      <c r="B193">
        <v>795</v>
      </c>
      <c r="C193" t="s">
        <v>339</v>
      </c>
      <c r="D193" s="10">
        <v>911251.89</v>
      </c>
      <c r="F193">
        <v>0</v>
      </c>
      <c r="H193" s="10">
        <v>911251.89</v>
      </c>
      <c r="I193" t="s">
        <v>35</v>
      </c>
      <c r="J193">
        <v>0</v>
      </c>
      <c r="L193" s="1">
        <f t="shared" si="2"/>
        <v>0</v>
      </c>
      <c r="N193" s="6" t="str">
        <f>IF(ISERROR(VLOOKUP($A193,'Plano de Contas'!#REF!,8,FALSE)),"",VLOOKUP($A193,'Plano de Contas'!#REF!,8,FALSE))</f>
        <v/>
      </c>
      <c r="P193" s="6" t="str">
        <f>IF(ISERROR(VLOOKUP($A193,'Plano de Contas'!#REF!,10,FALSE)),"",VLOOKUP($A193,'Plano de Contas'!#REF!,10,FALSE))</f>
        <v/>
      </c>
    </row>
    <row r="194" spans="1:16" x14ac:dyDescent="0.25">
      <c r="A194" t="s">
        <v>340</v>
      </c>
      <c r="B194">
        <v>797</v>
      </c>
      <c r="C194" t="s">
        <v>341</v>
      </c>
      <c r="D194" s="10">
        <v>1511363.46</v>
      </c>
      <c r="F194">
        <v>0</v>
      </c>
      <c r="H194">
        <v>0</v>
      </c>
      <c r="J194" s="10">
        <v>1511363.46</v>
      </c>
      <c r="L194" s="1">
        <f t="shared" si="2"/>
        <v>1511363.46</v>
      </c>
      <c r="N194" s="6" t="str">
        <f>IF(ISERROR(VLOOKUP($A194,'Plano de Contas'!#REF!,8,FALSE)),"",VLOOKUP($A194,'Plano de Contas'!#REF!,8,FALSE))</f>
        <v/>
      </c>
      <c r="P194" s="6" t="str">
        <f>IF(ISERROR(VLOOKUP($A194,'Plano de Contas'!#REF!,10,FALSE)),"",VLOOKUP($A194,'Plano de Contas'!#REF!,10,FALSE))</f>
        <v/>
      </c>
    </row>
    <row r="195" spans="1:16" x14ac:dyDescent="0.25">
      <c r="A195" t="s">
        <v>342</v>
      </c>
      <c r="B195">
        <v>806</v>
      </c>
      <c r="C195" t="s">
        <v>343</v>
      </c>
      <c r="D195" s="10">
        <v>53669.64</v>
      </c>
      <c r="F195">
        <v>0</v>
      </c>
      <c r="H195" s="10">
        <v>53669.64</v>
      </c>
      <c r="J195">
        <v>0</v>
      </c>
      <c r="L195" s="1">
        <f t="shared" si="2"/>
        <v>0</v>
      </c>
      <c r="N195" s="6" t="str">
        <f>IF(ISERROR(VLOOKUP($A195,'Plano de Contas'!#REF!,8,FALSE)),"",VLOOKUP($A195,'Plano de Contas'!#REF!,8,FALSE))</f>
        <v/>
      </c>
      <c r="P195" s="6" t="str">
        <f>IF(ISERROR(VLOOKUP($A195,'Plano de Contas'!#REF!,10,FALSE)),"",VLOOKUP($A195,'Plano de Contas'!#REF!,10,FALSE))</f>
        <v/>
      </c>
    </row>
    <row r="196" spans="1:16" x14ac:dyDescent="0.25">
      <c r="A196" t="s">
        <v>344</v>
      </c>
      <c r="B196">
        <v>810</v>
      </c>
      <c r="C196" t="s">
        <v>345</v>
      </c>
      <c r="D196" s="10">
        <v>489670.98</v>
      </c>
      <c r="F196">
        <v>0</v>
      </c>
      <c r="H196">
        <v>0</v>
      </c>
      <c r="J196" s="10">
        <v>489670.98</v>
      </c>
      <c r="L196" s="1">
        <f t="shared" si="2"/>
        <v>489670.98</v>
      </c>
      <c r="N196" s="6" t="str">
        <f>IF(ISERROR(VLOOKUP($A196,'Plano de Contas'!#REF!,8,FALSE)),"",VLOOKUP($A196,'Plano de Contas'!#REF!,8,FALSE))</f>
        <v/>
      </c>
      <c r="P196" s="6" t="str">
        <f>IF(ISERROR(VLOOKUP($A196,'Plano de Contas'!#REF!,10,FALSE)),"",VLOOKUP($A196,'Plano de Contas'!#REF!,10,FALSE))</f>
        <v/>
      </c>
    </row>
    <row r="197" spans="1:16" x14ac:dyDescent="0.25">
      <c r="A197" t="s">
        <v>346</v>
      </c>
      <c r="B197">
        <v>811</v>
      </c>
      <c r="C197" t="s">
        <v>347</v>
      </c>
      <c r="D197" s="10">
        <v>11641005.82</v>
      </c>
      <c r="F197">
        <v>0</v>
      </c>
      <c r="H197">
        <v>0</v>
      </c>
      <c r="J197" s="10">
        <v>11641005.82</v>
      </c>
      <c r="L197" s="1">
        <f t="shared" si="2"/>
        <v>11641005.82</v>
      </c>
      <c r="N197" s="6" t="str">
        <f>IF(ISERROR(VLOOKUP($A197,'Plano de Contas'!#REF!,8,FALSE)),"",VLOOKUP($A197,'Plano de Contas'!#REF!,8,FALSE))</f>
        <v/>
      </c>
      <c r="P197" s="6" t="str">
        <f>IF(ISERROR(VLOOKUP($A197,'Plano de Contas'!#REF!,10,FALSE)),"",VLOOKUP($A197,'Plano de Contas'!#REF!,10,FALSE))</f>
        <v/>
      </c>
    </row>
    <row r="198" spans="1:16" x14ac:dyDescent="0.25">
      <c r="A198" t="s">
        <v>348</v>
      </c>
      <c r="B198">
        <v>819</v>
      </c>
      <c r="C198" t="s">
        <v>349</v>
      </c>
      <c r="D198" s="10">
        <v>1649047.79</v>
      </c>
      <c r="F198">
        <v>0</v>
      </c>
      <c r="H198" s="10">
        <v>1649047.79</v>
      </c>
      <c r="J198">
        <v>0</v>
      </c>
      <c r="L198" s="1">
        <f t="shared" si="2"/>
        <v>0</v>
      </c>
      <c r="N198" s="6" t="str">
        <f>IF(ISERROR(VLOOKUP($A198,'Plano de Contas'!#REF!,8,FALSE)),"",VLOOKUP($A198,'Plano de Contas'!#REF!,8,FALSE))</f>
        <v/>
      </c>
      <c r="P198" s="6" t="str">
        <f>IF(ISERROR(VLOOKUP($A198,'Plano de Contas'!#REF!,10,FALSE)),"",VLOOKUP($A198,'Plano de Contas'!#REF!,10,FALSE))</f>
        <v/>
      </c>
    </row>
    <row r="199" spans="1:16" x14ac:dyDescent="0.25">
      <c r="A199" t="s">
        <v>350</v>
      </c>
      <c r="B199">
        <v>821</v>
      </c>
      <c r="C199" t="s">
        <v>351</v>
      </c>
      <c r="D199" s="10">
        <v>20849639.489999998</v>
      </c>
      <c r="F199">
        <v>0</v>
      </c>
      <c r="H199">
        <v>0</v>
      </c>
      <c r="J199" s="10">
        <v>20849639.489999998</v>
      </c>
      <c r="L199" s="1">
        <f t="shared" si="2"/>
        <v>20849639.489999998</v>
      </c>
      <c r="N199" s="6" t="str">
        <f>IF(ISERROR(VLOOKUP($A199,'Plano de Contas'!#REF!,8,FALSE)),"",VLOOKUP($A199,'Plano de Contas'!#REF!,8,FALSE))</f>
        <v/>
      </c>
      <c r="P199" s="6" t="str">
        <f>IF(ISERROR(VLOOKUP($A199,'Plano de Contas'!#REF!,10,FALSE)),"",VLOOKUP($A199,'Plano de Contas'!#REF!,10,FALSE))</f>
        <v/>
      </c>
    </row>
    <row r="200" spans="1:16" x14ac:dyDescent="0.25">
      <c r="A200" t="s">
        <v>352</v>
      </c>
      <c r="B200">
        <v>823</v>
      </c>
      <c r="C200" t="s">
        <v>353</v>
      </c>
      <c r="D200" s="10">
        <v>73665.05</v>
      </c>
      <c r="F200">
        <v>0</v>
      </c>
      <c r="H200">
        <v>0</v>
      </c>
      <c r="J200" s="10">
        <v>73665.05</v>
      </c>
      <c r="L200" s="1">
        <f t="shared" ref="L200:L263" si="3">IF(K200="-",-J200,J200)</f>
        <v>73665.05</v>
      </c>
      <c r="N200" s="6" t="str">
        <f>IF(ISERROR(VLOOKUP($A200,'Plano de Contas'!#REF!,8,FALSE)),"",VLOOKUP($A200,'Plano de Contas'!#REF!,8,FALSE))</f>
        <v/>
      </c>
      <c r="P200" s="6" t="str">
        <f>IF(ISERROR(VLOOKUP($A200,'Plano de Contas'!#REF!,10,FALSE)),"",VLOOKUP($A200,'Plano de Contas'!#REF!,10,FALSE))</f>
        <v/>
      </c>
    </row>
    <row r="201" spans="1:16" x14ac:dyDescent="0.25">
      <c r="A201" t="s">
        <v>354</v>
      </c>
      <c r="B201">
        <v>825</v>
      </c>
      <c r="C201" t="s">
        <v>355</v>
      </c>
      <c r="D201" s="10">
        <v>141908.59</v>
      </c>
      <c r="F201">
        <v>0</v>
      </c>
      <c r="H201" s="10">
        <v>141908.59</v>
      </c>
      <c r="J201">
        <v>0</v>
      </c>
      <c r="L201" s="1">
        <f t="shared" si="3"/>
        <v>0</v>
      </c>
      <c r="N201" s="6" t="str">
        <f>IF(ISERROR(VLOOKUP($A201,'Plano de Contas'!#REF!,8,FALSE)),"",VLOOKUP($A201,'Plano de Contas'!#REF!,8,FALSE))</f>
        <v/>
      </c>
      <c r="P201" s="6" t="str">
        <f>IF(ISERROR(VLOOKUP($A201,'Plano de Contas'!#REF!,10,FALSE)),"",VLOOKUP($A201,'Plano de Contas'!#REF!,10,FALSE))</f>
        <v/>
      </c>
    </row>
    <row r="202" spans="1:16" x14ac:dyDescent="0.25">
      <c r="A202" t="s">
        <v>356</v>
      </c>
      <c r="B202">
        <v>827</v>
      </c>
      <c r="C202" t="s">
        <v>357</v>
      </c>
      <c r="D202" s="10">
        <v>451147.57</v>
      </c>
      <c r="F202">
        <v>0</v>
      </c>
      <c r="H202" s="10">
        <v>451147.57</v>
      </c>
      <c r="I202" t="s">
        <v>35</v>
      </c>
      <c r="J202">
        <v>0</v>
      </c>
      <c r="L202" s="1">
        <f t="shared" si="3"/>
        <v>0</v>
      </c>
      <c r="N202" s="6" t="str">
        <f>IF(ISERROR(VLOOKUP($A202,'Plano de Contas'!#REF!,8,FALSE)),"",VLOOKUP($A202,'Plano de Contas'!#REF!,8,FALSE))</f>
        <v/>
      </c>
      <c r="P202" s="6" t="str">
        <f>IF(ISERROR(VLOOKUP($A202,'Plano de Contas'!#REF!,10,FALSE)),"",VLOOKUP($A202,'Plano de Contas'!#REF!,10,FALSE))</f>
        <v/>
      </c>
    </row>
    <row r="203" spans="1:16" x14ac:dyDescent="0.25">
      <c r="A203" t="s">
        <v>360</v>
      </c>
      <c r="B203">
        <v>914</v>
      </c>
      <c r="C203" t="s">
        <v>361</v>
      </c>
      <c r="D203" s="10">
        <v>2500000</v>
      </c>
      <c r="F203">
        <v>0</v>
      </c>
      <c r="H203" s="10">
        <v>2500000</v>
      </c>
      <c r="J203">
        <v>0</v>
      </c>
      <c r="L203" s="1">
        <f t="shared" si="3"/>
        <v>0</v>
      </c>
      <c r="N203" s="6" t="str">
        <f>IF(ISERROR(VLOOKUP($A203,'Plano de Contas'!#REF!,8,FALSE)),"",VLOOKUP($A203,'Plano de Contas'!#REF!,8,FALSE))</f>
        <v/>
      </c>
      <c r="P203" s="6" t="str">
        <f>IF(ISERROR(VLOOKUP($A203,'Plano de Contas'!#REF!,10,FALSE)),"",VLOOKUP($A203,'Plano de Contas'!#REF!,10,FALSE))</f>
        <v/>
      </c>
    </row>
    <row r="204" spans="1:16" x14ac:dyDescent="0.25">
      <c r="A204" t="s">
        <v>362</v>
      </c>
      <c r="B204">
        <v>950</v>
      </c>
      <c r="C204" t="s">
        <v>1011</v>
      </c>
      <c r="D204" s="10">
        <v>146860.93</v>
      </c>
      <c r="F204">
        <v>0</v>
      </c>
      <c r="H204">
        <v>0</v>
      </c>
      <c r="J204" s="10">
        <v>146860.93</v>
      </c>
      <c r="L204" s="1">
        <f t="shared" si="3"/>
        <v>146860.93</v>
      </c>
      <c r="N204" s="6" t="str">
        <f>IF(ISERROR(VLOOKUP($A204,'Plano de Contas'!#REF!,8,FALSE)),"",VLOOKUP($A204,'Plano de Contas'!#REF!,8,FALSE))</f>
        <v/>
      </c>
      <c r="P204" s="6" t="str">
        <f>IF(ISERROR(VLOOKUP($A204,'Plano de Contas'!#REF!,10,FALSE)),"",VLOOKUP($A204,'Plano de Contas'!#REF!,10,FALSE))</f>
        <v/>
      </c>
    </row>
    <row r="205" spans="1:16" x14ac:dyDescent="0.25">
      <c r="A205" t="s">
        <v>364</v>
      </c>
      <c r="B205">
        <v>952</v>
      </c>
      <c r="C205" t="s">
        <v>1012</v>
      </c>
      <c r="D205" s="10">
        <v>138705.43</v>
      </c>
      <c r="F205">
        <v>0</v>
      </c>
      <c r="H205">
        <v>0</v>
      </c>
      <c r="J205" s="10">
        <v>138705.43</v>
      </c>
      <c r="L205" s="1">
        <f t="shared" si="3"/>
        <v>138705.43</v>
      </c>
      <c r="N205" s="6" t="str">
        <f>IF(ISERROR(VLOOKUP($A205,'Plano de Contas'!#REF!,8,FALSE)),"",VLOOKUP($A205,'Plano de Contas'!#REF!,8,FALSE))</f>
        <v/>
      </c>
      <c r="P205" s="6" t="str">
        <f>IF(ISERROR(VLOOKUP($A205,'Plano de Contas'!#REF!,10,FALSE)),"",VLOOKUP($A205,'Plano de Contas'!#REF!,10,FALSE))</f>
        <v/>
      </c>
    </row>
    <row r="206" spans="1:16" x14ac:dyDescent="0.25">
      <c r="A206" t="s">
        <v>366</v>
      </c>
      <c r="B206">
        <v>954</v>
      </c>
      <c r="C206" t="s">
        <v>1013</v>
      </c>
      <c r="D206" s="10">
        <v>146092.78</v>
      </c>
      <c r="F206">
        <v>0</v>
      </c>
      <c r="H206">
        <v>0</v>
      </c>
      <c r="J206" s="10">
        <v>146092.78</v>
      </c>
      <c r="L206" s="1">
        <f t="shared" si="3"/>
        <v>146092.78</v>
      </c>
      <c r="N206" s="6" t="str">
        <f>IF(ISERROR(VLOOKUP($A206,'Plano de Contas'!#REF!,8,FALSE)),"",VLOOKUP($A206,'Plano de Contas'!#REF!,8,FALSE))</f>
        <v/>
      </c>
      <c r="P206" s="6" t="str">
        <f>IF(ISERROR(VLOOKUP($A206,'Plano de Contas'!#REF!,10,FALSE)),"",VLOOKUP($A206,'Plano de Contas'!#REF!,10,FALSE))</f>
        <v/>
      </c>
    </row>
    <row r="207" spans="1:16" x14ac:dyDescent="0.25">
      <c r="A207" t="s">
        <v>1014</v>
      </c>
      <c r="B207">
        <v>989</v>
      </c>
      <c r="C207" t="s">
        <v>1015</v>
      </c>
      <c r="D207">
        <v>0</v>
      </c>
      <c r="F207" s="10">
        <v>5688861.7400000002</v>
      </c>
      <c r="H207">
        <v>0</v>
      </c>
      <c r="J207" s="10">
        <v>5688861.7400000002</v>
      </c>
      <c r="L207" s="1">
        <f t="shared" si="3"/>
        <v>5688861.7400000002</v>
      </c>
      <c r="N207" s="6" t="str">
        <f>IF(ISERROR(VLOOKUP($A207,'Plano de Contas'!#REF!,8,FALSE)),"",VLOOKUP($A207,'Plano de Contas'!#REF!,8,FALSE))</f>
        <v/>
      </c>
      <c r="P207" s="6" t="str">
        <f>IF(ISERROR(VLOOKUP($A207,'Plano de Contas'!#REF!,10,FALSE)),"",VLOOKUP($A207,'Plano de Contas'!#REF!,10,FALSE))</f>
        <v/>
      </c>
    </row>
    <row r="208" spans="1:16" x14ac:dyDescent="0.25">
      <c r="A208" t="s">
        <v>1016</v>
      </c>
      <c r="B208">
        <v>990</v>
      </c>
      <c r="C208" t="s">
        <v>1017</v>
      </c>
      <c r="D208">
        <v>0</v>
      </c>
      <c r="F208" s="10">
        <v>32135051.829999998</v>
      </c>
      <c r="H208">
        <v>0</v>
      </c>
      <c r="J208" s="10">
        <v>32135051.829999998</v>
      </c>
      <c r="L208" s="1">
        <f t="shared" si="3"/>
        <v>32135051.829999998</v>
      </c>
      <c r="N208" s="6" t="str">
        <f>IF(ISERROR(VLOOKUP($A208,'Plano de Contas'!#REF!,8,FALSE)),"",VLOOKUP($A208,'Plano de Contas'!#REF!,8,FALSE))</f>
        <v/>
      </c>
      <c r="P208" s="6" t="str">
        <f>IF(ISERROR(VLOOKUP($A208,'Plano de Contas'!#REF!,10,FALSE)),"",VLOOKUP($A208,'Plano de Contas'!#REF!,10,FALSE))</f>
        <v/>
      </c>
    </row>
    <row r="209" spans="1:16" x14ac:dyDescent="0.25">
      <c r="A209" t="s">
        <v>1018</v>
      </c>
      <c r="B209">
        <v>992</v>
      </c>
      <c r="C209" t="s">
        <v>1019</v>
      </c>
      <c r="D209">
        <v>0</v>
      </c>
      <c r="F209" s="10">
        <v>1614438.56</v>
      </c>
      <c r="H209" s="10">
        <v>1614438.56</v>
      </c>
      <c r="I209" t="s">
        <v>35</v>
      </c>
      <c r="J209">
        <v>0</v>
      </c>
      <c r="L209" s="1">
        <f t="shared" si="3"/>
        <v>0</v>
      </c>
      <c r="N209" s="6" t="str">
        <f>IF(ISERROR(VLOOKUP($A209,'Plano de Contas'!#REF!,8,FALSE)),"",VLOOKUP($A209,'Plano de Contas'!#REF!,8,FALSE))</f>
        <v/>
      </c>
      <c r="P209" s="6" t="str">
        <f>IF(ISERROR(VLOOKUP($A209,'Plano de Contas'!#REF!,10,FALSE)),"",VLOOKUP($A209,'Plano de Contas'!#REF!,10,FALSE))</f>
        <v/>
      </c>
    </row>
    <row r="210" spans="1:16" x14ac:dyDescent="0.25">
      <c r="A210" t="s">
        <v>1020</v>
      </c>
      <c r="B210">
        <v>1042</v>
      </c>
      <c r="C210" t="s">
        <v>1021</v>
      </c>
      <c r="D210" s="10">
        <v>14900</v>
      </c>
      <c r="F210" s="10">
        <v>963351478.88999999</v>
      </c>
      <c r="H210" s="10">
        <v>3098297.16</v>
      </c>
      <c r="I210" t="s">
        <v>35</v>
      </c>
      <c r="J210" s="10">
        <v>960268081.73000002</v>
      </c>
      <c r="L210" s="62">
        <f t="shared" si="3"/>
        <v>960268081.73000002</v>
      </c>
      <c r="N210" s="6" t="str">
        <f>IF(ISERROR(VLOOKUP($A210,'Plano de Contas'!#REF!,8,FALSE)),"",VLOOKUP($A210,'Plano de Contas'!#REF!,8,FALSE))</f>
        <v/>
      </c>
      <c r="P210" s="6" t="str">
        <f>IF(ISERROR(VLOOKUP($A210,'Plano de Contas'!#REF!,10,FALSE)),"",VLOOKUP($A210,'Plano de Contas'!#REF!,10,FALSE))</f>
        <v/>
      </c>
    </row>
    <row r="211" spans="1:16" x14ac:dyDescent="0.25">
      <c r="L211" s="1">
        <f t="shared" si="3"/>
        <v>0</v>
      </c>
      <c r="N211" s="6" t="str">
        <f>IF(ISERROR(VLOOKUP($A211,'Plano de Contas'!#REF!,8,FALSE)),"",VLOOKUP($A211,'Plano de Contas'!#REF!,8,FALSE))</f>
        <v/>
      </c>
      <c r="P211" s="6" t="str">
        <f>IF(ISERROR(VLOOKUP($A211,'Plano de Contas'!#REF!,10,FALSE)),"",VLOOKUP($A211,'Plano de Contas'!#REF!,10,FALSE))</f>
        <v/>
      </c>
    </row>
    <row r="212" spans="1:16" x14ac:dyDescent="0.25">
      <c r="A212" t="s">
        <v>368</v>
      </c>
      <c r="B212">
        <v>88</v>
      </c>
      <c r="C212" t="s">
        <v>369</v>
      </c>
      <c r="D212" s="10">
        <v>63276533.039999999</v>
      </c>
      <c r="F212">
        <v>0</v>
      </c>
      <c r="H212" s="10">
        <v>1250667.9099999999</v>
      </c>
      <c r="I212" t="s">
        <v>35</v>
      </c>
      <c r="J212" s="10">
        <v>62025865.130000003</v>
      </c>
      <c r="L212" s="1">
        <f t="shared" si="3"/>
        <v>62025865.130000003</v>
      </c>
      <c r="N212" s="6" t="str">
        <f>IF(ISERROR(VLOOKUP($A212,'Plano de Contas'!#REF!,8,FALSE)),"",VLOOKUP($A212,'Plano de Contas'!#REF!,8,FALSE))</f>
        <v/>
      </c>
      <c r="P212" s="6" t="str">
        <f>IF(ISERROR(VLOOKUP($A212,'Plano de Contas'!#REF!,10,FALSE)),"",VLOOKUP($A212,'Plano de Contas'!#REF!,10,FALSE))</f>
        <v/>
      </c>
    </row>
    <row r="213" spans="1:16" x14ac:dyDescent="0.25">
      <c r="A213" t="s">
        <v>370</v>
      </c>
      <c r="B213">
        <v>90</v>
      </c>
      <c r="C213" t="s">
        <v>371</v>
      </c>
      <c r="D213" s="10">
        <v>987735.26</v>
      </c>
      <c r="F213">
        <v>0</v>
      </c>
      <c r="H213" s="10">
        <v>987735.26</v>
      </c>
      <c r="I213" t="s">
        <v>35</v>
      </c>
      <c r="J213">
        <v>0</v>
      </c>
      <c r="L213" s="1">
        <f t="shared" si="3"/>
        <v>0</v>
      </c>
      <c r="N213" s="6" t="str">
        <f>IF(ISERROR(VLOOKUP($A213,'Plano de Contas'!#REF!,8,FALSE)),"",VLOOKUP($A213,'Plano de Contas'!#REF!,8,FALSE))</f>
        <v/>
      </c>
      <c r="P213" s="6" t="str">
        <f>IF(ISERROR(VLOOKUP($A213,'Plano de Contas'!#REF!,10,FALSE)),"",VLOOKUP($A213,'Plano de Contas'!#REF!,10,FALSE))</f>
        <v/>
      </c>
    </row>
    <row r="214" spans="1:16" x14ac:dyDescent="0.25">
      <c r="A214" t="s">
        <v>372</v>
      </c>
      <c r="B214">
        <v>91</v>
      </c>
      <c r="C214" t="s">
        <v>373</v>
      </c>
      <c r="D214" s="10">
        <v>4664739.82</v>
      </c>
      <c r="F214">
        <v>0</v>
      </c>
      <c r="H214">
        <v>0</v>
      </c>
      <c r="J214" s="10">
        <v>4664739.82</v>
      </c>
      <c r="L214" s="1">
        <f t="shared" si="3"/>
        <v>4664739.82</v>
      </c>
      <c r="N214" s="6" t="str">
        <f>IF(ISERROR(VLOOKUP($A214,'Plano de Contas'!#REF!,8,FALSE)),"",VLOOKUP($A214,'Plano de Contas'!#REF!,8,FALSE))</f>
        <v/>
      </c>
      <c r="P214" s="6" t="str">
        <f>IF(ISERROR(VLOOKUP($A214,'Plano de Contas'!#REF!,10,FALSE)),"",VLOOKUP($A214,'Plano de Contas'!#REF!,10,FALSE))</f>
        <v/>
      </c>
    </row>
    <row r="215" spans="1:16" x14ac:dyDescent="0.25">
      <c r="A215" t="s">
        <v>374</v>
      </c>
      <c r="B215">
        <v>92</v>
      </c>
      <c r="C215" t="s">
        <v>375</v>
      </c>
      <c r="D215" s="10">
        <v>57078378</v>
      </c>
      <c r="F215">
        <v>0</v>
      </c>
      <c r="H215">
        <v>0</v>
      </c>
      <c r="J215" s="10">
        <v>57078378</v>
      </c>
      <c r="L215" s="1">
        <f t="shared" si="3"/>
        <v>57078378</v>
      </c>
      <c r="N215" s="6" t="str">
        <f>IF(ISERROR(VLOOKUP($A215,'Plano de Contas'!#REF!,8,FALSE)),"",VLOOKUP($A215,'Plano de Contas'!#REF!,8,FALSE))</f>
        <v/>
      </c>
      <c r="P215" s="6" t="str">
        <f>IF(ISERROR(VLOOKUP($A215,'Plano de Contas'!#REF!,10,FALSE)),"",VLOOKUP($A215,'Plano de Contas'!#REF!,10,FALSE))</f>
        <v/>
      </c>
    </row>
    <row r="216" spans="1:16" x14ac:dyDescent="0.25">
      <c r="A216" t="s">
        <v>376</v>
      </c>
      <c r="B216">
        <v>93</v>
      </c>
      <c r="C216" t="s">
        <v>377</v>
      </c>
      <c r="D216" s="10">
        <v>131809.38</v>
      </c>
      <c r="F216">
        <v>0</v>
      </c>
      <c r="H216" s="10">
        <v>131809.38</v>
      </c>
      <c r="I216" t="s">
        <v>35</v>
      </c>
      <c r="J216">
        <v>0</v>
      </c>
      <c r="L216" s="1">
        <f t="shared" si="3"/>
        <v>0</v>
      </c>
      <c r="N216" s="6" t="str">
        <f>IF(ISERROR(VLOOKUP($A216,'Plano de Contas'!#REF!,8,FALSE)),"",VLOOKUP($A216,'Plano de Contas'!#REF!,8,FALSE))</f>
        <v/>
      </c>
      <c r="P216" s="6" t="str">
        <f>IF(ISERROR(VLOOKUP($A216,'Plano de Contas'!#REF!,10,FALSE)),"",VLOOKUP($A216,'Plano de Contas'!#REF!,10,FALSE))</f>
        <v/>
      </c>
    </row>
    <row r="217" spans="1:16" x14ac:dyDescent="0.25">
      <c r="A217" t="s">
        <v>378</v>
      </c>
      <c r="B217">
        <v>94</v>
      </c>
      <c r="C217" t="s">
        <v>379</v>
      </c>
      <c r="D217" s="10">
        <v>131123.26999999999</v>
      </c>
      <c r="F217">
        <v>0</v>
      </c>
      <c r="H217" s="10">
        <v>131123.26999999999</v>
      </c>
      <c r="J217">
        <v>0</v>
      </c>
      <c r="L217" s="1">
        <f t="shared" si="3"/>
        <v>0</v>
      </c>
      <c r="N217" s="6" t="str">
        <f>IF(ISERROR(VLOOKUP($A217,'Plano de Contas'!#REF!,8,FALSE)),"",VLOOKUP($A217,'Plano de Contas'!#REF!,8,FALSE))</f>
        <v/>
      </c>
      <c r="P217" s="6" t="str">
        <f>IF(ISERROR(VLOOKUP($A217,'Plano de Contas'!#REF!,10,FALSE)),"",VLOOKUP($A217,'Plano de Contas'!#REF!,10,FALSE))</f>
        <v/>
      </c>
    </row>
    <row r="218" spans="1:16" x14ac:dyDescent="0.25">
      <c r="A218" t="s">
        <v>380</v>
      </c>
      <c r="B218">
        <v>95</v>
      </c>
      <c r="C218" t="s">
        <v>381</v>
      </c>
      <c r="D218" s="10">
        <v>264529.94</v>
      </c>
      <c r="F218">
        <v>0</v>
      </c>
      <c r="H218">
        <v>0</v>
      </c>
      <c r="J218" s="10">
        <v>264529.94</v>
      </c>
      <c r="L218" s="1">
        <f t="shared" si="3"/>
        <v>264529.94</v>
      </c>
      <c r="N218" s="6" t="str">
        <f>IF(ISERROR(VLOOKUP($A218,'Plano de Contas'!#REF!,8,FALSE)),"",VLOOKUP($A218,'Plano de Contas'!#REF!,8,FALSE))</f>
        <v/>
      </c>
      <c r="P218" s="6" t="str">
        <f>IF(ISERROR(VLOOKUP($A218,'Plano de Contas'!#REF!,10,FALSE)),"",VLOOKUP($A218,'Plano de Contas'!#REF!,10,FALSE))</f>
        <v/>
      </c>
    </row>
    <row r="219" spans="1:16" x14ac:dyDescent="0.25">
      <c r="A219" t="s">
        <v>382</v>
      </c>
      <c r="B219">
        <v>461</v>
      </c>
      <c r="C219" t="s">
        <v>383</v>
      </c>
      <c r="D219" s="10">
        <v>18217.37</v>
      </c>
      <c r="F219">
        <v>0</v>
      </c>
      <c r="H219">
        <v>0</v>
      </c>
      <c r="J219" s="10">
        <v>18217.37</v>
      </c>
      <c r="L219" s="35">
        <f t="shared" si="3"/>
        <v>18217.37</v>
      </c>
      <c r="N219" s="6" t="str">
        <f>IF(ISERROR(VLOOKUP($A219,'Plano de Contas'!#REF!,8,FALSE)),"",VLOOKUP($A219,'Plano de Contas'!#REF!,8,FALSE))</f>
        <v/>
      </c>
      <c r="P219" s="6" t="str">
        <f>IF(ISERROR(VLOOKUP($A219,'Plano de Contas'!#REF!,10,FALSE)),"",VLOOKUP($A219,'Plano de Contas'!#REF!,10,FALSE))</f>
        <v/>
      </c>
    </row>
    <row r="220" spans="1:16" x14ac:dyDescent="0.25">
      <c r="L220" s="1">
        <f t="shared" si="3"/>
        <v>0</v>
      </c>
      <c r="N220" s="6" t="str">
        <f>IF(ISERROR(VLOOKUP($A220,'Plano de Contas'!#REF!,8,FALSE)),"",VLOOKUP($A220,'Plano de Contas'!#REF!,8,FALSE))</f>
        <v/>
      </c>
      <c r="P220" s="6" t="str">
        <f>IF(ISERROR(VLOOKUP($A220,'Plano de Contas'!#REF!,10,FALSE)),"",VLOOKUP($A220,'Plano de Contas'!#REF!,10,FALSE))</f>
        <v/>
      </c>
    </row>
    <row r="221" spans="1:16" x14ac:dyDescent="0.25">
      <c r="A221" t="s">
        <v>384</v>
      </c>
      <c r="B221">
        <v>96</v>
      </c>
      <c r="C221" t="s">
        <v>385</v>
      </c>
      <c r="D221" s="10">
        <v>1967770226.79</v>
      </c>
      <c r="F221" s="10">
        <v>20059292.449999999</v>
      </c>
      <c r="H221" s="10">
        <v>377232360.72000003</v>
      </c>
      <c r="I221" t="s">
        <v>35</v>
      </c>
      <c r="J221" s="10">
        <v>1610597158.52</v>
      </c>
      <c r="L221" s="1">
        <f t="shared" si="3"/>
        <v>1610597158.52</v>
      </c>
      <c r="N221" s="6" t="str">
        <f>IF(ISERROR(VLOOKUP($A221,'Plano de Contas'!#REF!,8,FALSE)),"",VLOOKUP($A221,'Plano de Contas'!#REF!,8,FALSE))</f>
        <v/>
      </c>
      <c r="P221" s="6" t="str">
        <f>IF(ISERROR(VLOOKUP($A221,'Plano de Contas'!#REF!,10,FALSE)),"",VLOOKUP($A221,'Plano de Contas'!#REF!,10,FALSE))</f>
        <v/>
      </c>
    </row>
    <row r="222" spans="1:16" x14ac:dyDescent="0.25">
      <c r="A222" t="s">
        <v>386</v>
      </c>
      <c r="B222">
        <v>323</v>
      </c>
      <c r="C222" t="s">
        <v>387</v>
      </c>
      <c r="D222" s="10">
        <v>1940043346.6500001</v>
      </c>
      <c r="F222" s="10">
        <v>20059292.449999999</v>
      </c>
      <c r="H222" s="10">
        <v>377232360.72000003</v>
      </c>
      <c r="I222" t="s">
        <v>35</v>
      </c>
      <c r="J222" s="10">
        <v>1582870278.3800001</v>
      </c>
      <c r="L222" s="1">
        <f t="shared" si="3"/>
        <v>1582870278.3800001</v>
      </c>
      <c r="N222" s="6" t="str">
        <f>IF(ISERROR(VLOOKUP($A222,'Plano de Contas'!#REF!,8,FALSE)),"",VLOOKUP($A222,'Plano de Contas'!#REF!,8,FALSE))</f>
        <v/>
      </c>
      <c r="P222" s="6" t="str">
        <f>IF(ISERROR(VLOOKUP($A222,'Plano de Contas'!#REF!,10,FALSE)),"",VLOOKUP($A222,'Plano de Contas'!#REF!,10,FALSE))</f>
        <v/>
      </c>
    </row>
    <row r="223" spans="1:16" x14ac:dyDescent="0.25">
      <c r="A223" t="s">
        <v>388</v>
      </c>
      <c r="B223">
        <v>324</v>
      </c>
      <c r="C223" t="s">
        <v>389</v>
      </c>
      <c r="D223" s="10">
        <v>9596917.9900000002</v>
      </c>
      <c r="F223">
        <v>0</v>
      </c>
      <c r="H223">
        <v>0</v>
      </c>
      <c r="J223" s="10">
        <v>9596917.9900000002</v>
      </c>
      <c r="L223" s="1">
        <f t="shared" si="3"/>
        <v>9596917.9900000002</v>
      </c>
      <c r="N223" s="6" t="str">
        <f>IF(ISERROR(VLOOKUP($A223,'Plano de Contas'!#REF!,8,FALSE)),"",VLOOKUP($A223,'Plano de Contas'!#REF!,8,FALSE))</f>
        <v/>
      </c>
      <c r="P223" s="6" t="str">
        <f>IF(ISERROR(VLOOKUP($A223,'Plano de Contas'!#REF!,10,FALSE)),"",VLOOKUP($A223,'Plano de Contas'!#REF!,10,FALSE))</f>
        <v/>
      </c>
    </row>
    <row r="224" spans="1:16" x14ac:dyDescent="0.25">
      <c r="A224" t="s">
        <v>390</v>
      </c>
      <c r="B224">
        <v>638</v>
      </c>
      <c r="C224" t="s">
        <v>391</v>
      </c>
      <c r="D224" s="10">
        <v>145225.78</v>
      </c>
      <c r="F224">
        <v>0</v>
      </c>
      <c r="H224">
        <v>0</v>
      </c>
      <c r="J224" s="10">
        <v>145225.78</v>
      </c>
      <c r="L224" s="1">
        <f t="shared" si="3"/>
        <v>145225.78</v>
      </c>
      <c r="N224" s="6" t="str">
        <f>IF(ISERROR(VLOOKUP($A224,'Plano de Contas'!#REF!,8,FALSE)),"",VLOOKUP($A224,'Plano de Contas'!#REF!,8,FALSE))</f>
        <v/>
      </c>
      <c r="P224" s="6" t="str">
        <f>IF(ISERROR(VLOOKUP($A224,'Plano de Contas'!#REF!,10,FALSE)),"",VLOOKUP($A224,'Plano de Contas'!#REF!,10,FALSE))</f>
        <v/>
      </c>
    </row>
    <row r="225" spans="1:16" x14ac:dyDescent="0.25">
      <c r="A225" t="s">
        <v>392</v>
      </c>
      <c r="B225">
        <v>639</v>
      </c>
      <c r="C225" t="s">
        <v>393</v>
      </c>
      <c r="D225" s="10">
        <v>51514.54</v>
      </c>
      <c r="F225">
        <v>0</v>
      </c>
      <c r="H225">
        <v>0</v>
      </c>
      <c r="J225" s="10">
        <v>51514.54</v>
      </c>
      <c r="L225" s="1">
        <f t="shared" si="3"/>
        <v>51514.54</v>
      </c>
      <c r="N225" s="6" t="str">
        <f>IF(ISERROR(VLOOKUP($A225,'Plano de Contas'!#REF!,8,FALSE)),"",VLOOKUP($A225,'Plano de Contas'!#REF!,8,FALSE))</f>
        <v/>
      </c>
      <c r="P225" s="6" t="str">
        <f>IF(ISERROR(VLOOKUP($A225,'Plano de Contas'!#REF!,10,FALSE)),"",VLOOKUP($A225,'Plano de Contas'!#REF!,10,FALSE))</f>
        <v/>
      </c>
    </row>
    <row r="226" spans="1:16" x14ac:dyDescent="0.25">
      <c r="A226" t="s">
        <v>394</v>
      </c>
      <c r="B226">
        <v>642</v>
      </c>
      <c r="C226" t="s">
        <v>395</v>
      </c>
      <c r="D226" s="10">
        <v>521985.21</v>
      </c>
      <c r="F226">
        <v>0</v>
      </c>
      <c r="H226">
        <v>0</v>
      </c>
      <c r="J226" s="10">
        <v>521985.21</v>
      </c>
      <c r="L226" s="1">
        <f t="shared" si="3"/>
        <v>521985.21</v>
      </c>
      <c r="N226" s="6" t="str">
        <f>IF(ISERROR(VLOOKUP($A226,'Plano de Contas'!#REF!,8,FALSE)),"",VLOOKUP($A226,'Plano de Contas'!#REF!,8,FALSE))</f>
        <v/>
      </c>
      <c r="P226" s="6" t="str">
        <f>IF(ISERROR(VLOOKUP($A226,'Plano de Contas'!#REF!,10,FALSE)),"",VLOOKUP($A226,'Plano de Contas'!#REF!,10,FALSE))</f>
        <v/>
      </c>
    </row>
    <row r="227" spans="1:16" x14ac:dyDescent="0.25">
      <c r="A227" t="s">
        <v>396</v>
      </c>
      <c r="B227">
        <v>643</v>
      </c>
      <c r="C227" t="s">
        <v>397</v>
      </c>
      <c r="D227" s="10">
        <v>164400.75</v>
      </c>
      <c r="F227">
        <v>0</v>
      </c>
      <c r="H227">
        <v>0</v>
      </c>
      <c r="J227" s="10">
        <v>164400.75</v>
      </c>
      <c r="L227" s="35">
        <f t="shared" si="3"/>
        <v>164400.75</v>
      </c>
      <c r="N227" s="6" t="str">
        <f>IF(ISERROR(VLOOKUP($A227,'Plano de Contas'!#REF!,8,FALSE)),"",VLOOKUP($A227,'Plano de Contas'!#REF!,8,FALSE))</f>
        <v/>
      </c>
      <c r="P227" s="6" t="str">
        <f>IF(ISERROR(VLOOKUP($A227,'Plano de Contas'!#REF!,10,FALSE)),"",VLOOKUP($A227,'Plano de Contas'!#REF!,10,FALSE))</f>
        <v/>
      </c>
    </row>
    <row r="228" spans="1:16" x14ac:dyDescent="0.25">
      <c r="A228" t="s">
        <v>398</v>
      </c>
      <c r="B228">
        <v>644</v>
      </c>
      <c r="C228" t="s">
        <v>399</v>
      </c>
      <c r="D228" s="10">
        <v>56456.91</v>
      </c>
      <c r="F228">
        <v>0</v>
      </c>
      <c r="H228">
        <v>0</v>
      </c>
      <c r="J228" s="10">
        <v>56456.91</v>
      </c>
      <c r="L228" s="1">
        <f t="shared" si="3"/>
        <v>56456.91</v>
      </c>
      <c r="N228" s="6" t="str">
        <f>IF(ISERROR(VLOOKUP($A228,'Plano de Contas'!#REF!,8,FALSE)),"",VLOOKUP($A228,'Plano de Contas'!#REF!,8,FALSE))</f>
        <v/>
      </c>
      <c r="P228" s="6" t="str">
        <f>IF(ISERROR(VLOOKUP($A228,'Plano de Contas'!#REF!,10,FALSE)),"",VLOOKUP($A228,'Plano de Contas'!#REF!,10,FALSE))</f>
        <v/>
      </c>
    </row>
    <row r="229" spans="1:16" x14ac:dyDescent="0.25">
      <c r="A229" t="s">
        <v>400</v>
      </c>
      <c r="B229">
        <v>645</v>
      </c>
      <c r="C229" t="s">
        <v>401</v>
      </c>
      <c r="D229" s="10">
        <v>120463.24</v>
      </c>
      <c r="F229">
        <v>0</v>
      </c>
      <c r="H229">
        <v>0</v>
      </c>
      <c r="J229" s="10">
        <v>120463.24</v>
      </c>
      <c r="L229" s="1">
        <f t="shared" si="3"/>
        <v>120463.24</v>
      </c>
      <c r="N229" s="6" t="str">
        <f>IF(ISERROR(VLOOKUP($A229,'Plano de Contas'!#REF!,8,FALSE)),"",VLOOKUP($A229,'Plano de Contas'!#REF!,8,FALSE))</f>
        <v/>
      </c>
      <c r="P229" s="6" t="str">
        <f>IF(ISERROR(VLOOKUP($A229,'Plano de Contas'!#REF!,10,FALSE)),"",VLOOKUP($A229,'Plano de Contas'!#REF!,10,FALSE))</f>
        <v/>
      </c>
    </row>
    <row r="230" spans="1:16" x14ac:dyDescent="0.25">
      <c r="A230" t="s">
        <v>402</v>
      </c>
      <c r="B230">
        <v>646</v>
      </c>
      <c r="C230" t="s">
        <v>403</v>
      </c>
      <c r="D230" s="10">
        <v>71976.259999999995</v>
      </c>
      <c r="F230">
        <v>0</v>
      </c>
      <c r="H230">
        <v>0</v>
      </c>
      <c r="J230" s="10">
        <v>71976.259999999995</v>
      </c>
      <c r="L230" s="1">
        <f t="shared" si="3"/>
        <v>71976.259999999995</v>
      </c>
      <c r="N230" s="6" t="str">
        <f>IF(ISERROR(VLOOKUP($A230,'Plano de Contas'!#REF!,8,FALSE)),"",VLOOKUP($A230,'Plano de Contas'!#REF!,8,FALSE))</f>
        <v/>
      </c>
      <c r="P230" s="6" t="str">
        <f>IF(ISERROR(VLOOKUP($A230,'Plano de Contas'!#REF!,10,FALSE)),"",VLOOKUP($A230,'Plano de Contas'!#REF!,10,FALSE))</f>
        <v/>
      </c>
    </row>
    <row r="231" spans="1:16" x14ac:dyDescent="0.25">
      <c r="A231" t="s">
        <v>404</v>
      </c>
      <c r="B231">
        <v>647</v>
      </c>
      <c r="C231" t="s">
        <v>405</v>
      </c>
      <c r="D231" s="10">
        <v>5400</v>
      </c>
      <c r="F231">
        <v>0</v>
      </c>
      <c r="H231">
        <v>0</v>
      </c>
      <c r="J231" s="10">
        <v>5400</v>
      </c>
      <c r="L231" s="1">
        <f t="shared" si="3"/>
        <v>5400</v>
      </c>
      <c r="N231" s="6" t="str">
        <f>IF(ISERROR(VLOOKUP($A231,'Plano de Contas'!#REF!,8,FALSE)),"",VLOOKUP($A231,'Plano de Contas'!#REF!,8,FALSE))</f>
        <v/>
      </c>
      <c r="P231" s="6" t="str">
        <f>IF(ISERROR(VLOOKUP($A231,'Plano de Contas'!#REF!,10,FALSE)),"",VLOOKUP($A231,'Plano de Contas'!#REF!,10,FALSE))</f>
        <v/>
      </c>
    </row>
    <row r="232" spans="1:16" x14ac:dyDescent="0.25">
      <c r="A232" t="s">
        <v>406</v>
      </c>
      <c r="B232">
        <v>649</v>
      </c>
      <c r="C232" t="s">
        <v>407</v>
      </c>
      <c r="D232" s="10">
        <v>121272.5</v>
      </c>
      <c r="F232">
        <v>0</v>
      </c>
      <c r="H232">
        <v>0</v>
      </c>
      <c r="J232" s="10">
        <v>121272.5</v>
      </c>
      <c r="L232" s="1">
        <f t="shared" si="3"/>
        <v>121272.5</v>
      </c>
      <c r="N232" s="6" t="str">
        <f>IF(ISERROR(VLOOKUP($A232,'Plano de Contas'!#REF!,8,FALSE)),"",VLOOKUP($A232,'Plano de Contas'!#REF!,8,FALSE))</f>
        <v/>
      </c>
      <c r="P232" s="6" t="str">
        <f>IF(ISERROR(VLOOKUP($A232,'Plano de Contas'!#REF!,10,FALSE)),"",VLOOKUP($A232,'Plano de Contas'!#REF!,10,FALSE))</f>
        <v/>
      </c>
    </row>
    <row r="233" spans="1:16" x14ac:dyDescent="0.25">
      <c r="A233" t="s">
        <v>408</v>
      </c>
      <c r="B233">
        <v>650</v>
      </c>
      <c r="C233" t="s">
        <v>409</v>
      </c>
      <c r="D233" s="10">
        <v>39172.18</v>
      </c>
      <c r="F233">
        <v>0</v>
      </c>
      <c r="H233">
        <v>0</v>
      </c>
      <c r="J233" s="10">
        <v>39172.18</v>
      </c>
      <c r="L233" s="1">
        <f t="shared" si="3"/>
        <v>39172.18</v>
      </c>
      <c r="N233" s="6" t="str">
        <f>IF(ISERROR(VLOOKUP($A233,'Plano de Contas'!#REF!,8,FALSE)),"",VLOOKUP($A233,'Plano de Contas'!#REF!,8,FALSE))</f>
        <v/>
      </c>
      <c r="P233" s="6" t="str">
        <f>IF(ISERROR(VLOOKUP($A233,'Plano de Contas'!#REF!,10,FALSE)),"",VLOOKUP($A233,'Plano de Contas'!#REF!,10,FALSE))</f>
        <v/>
      </c>
    </row>
    <row r="234" spans="1:16" x14ac:dyDescent="0.25">
      <c r="A234" t="s">
        <v>410</v>
      </c>
      <c r="B234">
        <v>654</v>
      </c>
      <c r="C234" t="s">
        <v>411</v>
      </c>
      <c r="D234" s="10">
        <v>2623476.1800000002</v>
      </c>
      <c r="F234">
        <v>0</v>
      </c>
      <c r="H234">
        <v>0</v>
      </c>
      <c r="J234" s="10">
        <v>2623476.1800000002</v>
      </c>
      <c r="L234" s="1">
        <f t="shared" si="3"/>
        <v>2623476.1800000002</v>
      </c>
      <c r="N234" s="6" t="str">
        <f>IF(ISERROR(VLOOKUP($A234,'Plano de Contas'!#REF!,8,FALSE)),"",VLOOKUP($A234,'Plano de Contas'!#REF!,8,FALSE))</f>
        <v/>
      </c>
      <c r="P234" s="6" t="str">
        <f>IF(ISERROR(VLOOKUP($A234,'Plano de Contas'!#REF!,10,FALSE)),"",VLOOKUP($A234,'Plano de Contas'!#REF!,10,FALSE))</f>
        <v/>
      </c>
    </row>
    <row r="235" spans="1:16" x14ac:dyDescent="0.25">
      <c r="A235" t="s">
        <v>412</v>
      </c>
      <c r="B235">
        <v>718</v>
      </c>
      <c r="C235" t="s">
        <v>413</v>
      </c>
      <c r="D235" s="10">
        <v>14208618.6</v>
      </c>
      <c r="F235">
        <v>0</v>
      </c>
      <c r="H235">
        <v>0</v>
      </c>
      <c r="J235" s="10">
        <v>14208618.6</v>
      </c>
      <c r="L235" s="1">
        <f t="shared" si="3"/>
        <v>14208618.6</v>
      </c>
      <c r="N235" s="6" t="str">
        <f>IF(ISERROR(VLOOKUP($A235,'Plano de Contas'!#REF!,8,FALSE)),"",VLOOKUP($A235,'Plano de Contas'!#REF!,8,FALSE))</f>
        <v/>
      </c>
      <c r="P235" s="6" t="str">
        <f>IF(ISERROR(VLOOKUP($A235,'Plano de Contas'!#REF!,10,FALSE)),"",VLOOKUP($A235,'Plano de Contas'!#REF!,10,FALSE))</f>
        <v/>
      </c>
    </row>
    <row r="236" spans="1:16" x14ac:dyDescent="0.25">
      <c r="L236" s="1">
        <f t="shared" si="3"/>
        <v>0</v>
      </c>
      <c r="N236" s="6" t="str">
        <f>IF(ISERROR(VLOOKUP($A236,'Plano de Contas'!#REF!,8,FALSE)),"",VLOOKUP($A236,'Plano de Contas'!#REF!,8,FALSE))</f>
        <v/>
      </c>
      <c r="P236" s="6" t="str">
        <f>IF(ISERROR(VLOOKUP($A236,'Plano de Contas'!#REF!,10,FALSE)),"",VLOOKUP($A236,'Plano de Contas'!#REF!,10,FALSE))</f>
        <v/>
      </c>
    </row>
    <row r="237" spans="1:16" x14ac:dyDescent="0.25">
      <c r="A237" t="s">
        <v>414</v>
      </c>
      <c r="B237">
        <v>97</v>
      </c>
      <c r="C237" t="s">
        <v>415</v>
      </c>
      <c r="D237" s="10">
        <v>109499035.17</v>
      </c>
      <c r="E237" t="s">
        <v>35</v>
      </c>
      <c r="F237" s="10">
        <v>13189400.52</v>
      </c>
      <c r="H237" s="10">
        <v>1609140.17</v>
      </c>
      <c r="I237" t="s">
        <v>35</v>
      </c>
      <c r="J237" s="10">
        <v>97918774.819999993</v>
      </c>
      <c r="K237" t="s">
        <v>35</v>
      </c>
      <c r="L237" s="1">
        <f t="shared" si="3"/>
        <v>-97918774.819999993</v>
      </c>
      <c r="N237" s="6" t="str">
        <f>IF(ISERROR(VLOOKUP($A237,'Plano de Contas'!#REF!,8,FALSE)),"",VLOOKUP($A237,'Plano de Contas'!#REF!,8,FALSE))</f>
        <v/>
      </c>
      <c r="P237" s="6" t="str">
        <f>IF(ISERROR(VLOOKUP($A237,'Plano de Contas'!#REF!,10,FALSE)),"",VLOOKUP($A237,'Plano de Contas'!#REF!,10,FALSE))</f>
        <v/>
      </c>
    </row>
    <row r="238" spans="1:16" x14ac:dyDescent="0.25">
      <c r="A238" t="s">
        <v>416</v>
      </c>
      <c r="B238">
        <v>98</v>
      </c>
      <c r="C238" t="s">
        <v>417</v>
      </c>
      <c r="D238" s="10">
        <v>4605291.07</v>
      </c>
      <c r="E238" t="s">
        <v>35</v>
      </c>
      <c r="F238">
        <v>0</v>
      </c>
      <c r="H238" s="10">
        <v>2337.69</v>
      </c>
      <c r="I238" t="s">
        <v>35</v>
      </c>
      <c r="J238" s="10">
        <v>4607628.76</v>
      </c>
      <c r="K238" t="s">
        <v>35</v>
      </c>
      <c r="L238" s="1">
        <f t="shared" si="3"/>
        <v>-4607628.76</v>
      </c>
      <c r="N238" s="6" t="str">
        <f>IF(ISERROR(VLOOKUP($A238,'Plano de Contas'!#REF!,8,FALSE)),"",VLOOKUP($A238,'Plano de Contas'!#REF!,8,FALSE))</f>
        <v/>
      </c>
      <c r="P238" s="6" t="str">
        <f>IF(ISERROR(VLOOKUP($A238,'Plano de Contas'!#REF!,10,FALSE)),"",VLOOKUP($A238,'Plano de Contas'!#REF!,10,FALSE))</f>
        <v/>
      </c>
    </row>
    <row r="239" spans="1:16" x14ac:dyDescent="0.25">
      <c r="A239" t="s">
        <v>418</v>
      </c>
      <c r="B239">
        <v>99</v>
      </c>
      <c r="C239" t="s">
        <v>419</v>
      </c>
      <c r="D239" s="10">
        <v>88439139.209999993</v>
      </c>
      <c r="E239" t="s">
        <v>35</v>
      </c>
      <c r="F239" s="10">
        <v>3098297.16</v>
      </c>
      <c r="H239" s="10">
        <v>1290485.9099999999</v>
      </c>
      <c r="I239" t="s">
        <v>35</v>
      </c>
      <c r="J239" s="10">
        <v>86631327.959999993</v>
      </c>
      <c r="K239" t="s">
        <v>35</v>
      </c>
      <c r="L239" s="1">
        <f t="shared" si="3"/>
        <v>-86631327.959999993</v>
      </c>
      <c r="N239" s="6" t="str">
        <f>IF(ISERROR(VLOOKUP($A239,'Plano de Contas'!#REF!,8,FALSE)),"",VLOOKUP($A239,'Plano de Contas'!#REF!,8,FALSE))</f>
        <v/>
      </c>
      <c r="P239" s="6" t="str">
        <f>IF(ISERROR(VLOOKUP($A239,'Plano de Contas'!#REF!,10,FALSE)),"",VLOOKUP($A239,'Plano de Contas'!#REF!,10,FALSE))</f>
        <v/>
      </c>
    </row>
    <row r="240" spans="1:16" x14ac:dyDescent="0.25">
      <c r="A240" t="s">
        <v>420</v>
      </c>
      <c r="B240">
        <v>100</v>
      </c>
      <c r="C240" t="s">
        <v>421</v>
      </c>
      <c r="D240" s="10">
        <v>9597463.6899999995</v>
      </c>
      <c r="E240" t="s">
        <v>35</v>
      </c>
      <c r="F240" s="10">
        <v>9437559.6400000006</v>
      </c>
      <c r="H240" s="10">
        <v>143697.9</v>
      </c>
      <c r="I240" t="s">
        <v>35</v>
      </c>
      <c r="J240" s="10">
        <v>303601.95</v>
      </c>
      <c r="K240" t="s">
        <v>35</v>
      </c>
      <c r="L240" s="1">
        <f t="shared" si="3"/>
        <v>-303601.95</v>
      </c>
      <c r="N240" s="6" t="str">
        <f>IF(ISERROR(VLOOKUP($A240,'Plano de Contas'!#REF!,8,FALSE)),"",VLOOKUP($A240,'Plano de Contas'!#REF!,8,FALSE))</f>
        <v/>
      </c>
      <c r="P240" s="6" t="str">
        <f>IF(ISERROR(VLOOKUP($A240,'Plano de Contas'!#REF!,10,FALSE)),"",VLOOKUP($A240,'Plano de Contas'!#REF!,10,FALSE))</f>
        <v/>
      </c>
    </row>
    <row r="241" spans="1:16" x14ac:dyDescent="0.25">
      <c r="A241" t="s">
        <v>422</v>
      </c>
      <c r="B241">
        <v>101</v>
      </c>
      <c r="C241" t="s">
        <v>423</v>
      </c>
      <c r="D241" s="10">
        <v>814348.52</v>
      </c>
      <c r="E241" t="s">
        <v>35</v>
      </c>
      <c r="F241" s="10">
        <v>651091.34</v>
      </c>
      <c r="H241" s="10">
        <v>132429.53</v>
      </c>
      <c r="I241" t="s">
        <v>35</v>
      </c>
      <c r="J241" s="10">
        <v>295686.71000000002</v>
      </c>
      <c r="K241" t="s">
        <v>35</v>
      </c>
      <c r="L241" s="1">
        <f t="shared" si="3"/>
        <v>-295686.71000000002</v>
      </c>
      <c r="N241" s="6" t="str">
        <f>IF(ISERROR(VLOOKUP($A241,'Plano de Contas'!#REF!,8,FALSE)),"",VLOOKUP($A241,'Plano de Contas'!#REF!,8,FALSE))</f>
        <v/>
      </c>
      <c r="P241" s="6" t="str">
        <f>IF(ISERROR(VLOOKUP($A241,'Plano de Contas'!#REF!,10,FALSE)),"",VLOOKUP($A241,'Plano de Contas'!#REF!,10,FALSE))</f>
        <v/>
      </c>
    </row>
    <row r="242" spans="1:16" x14ac:dyDescent="0.25">
      <c r="A242" t="s">
        <v>424</v>
      </c>
      <c r="B242">
        <v>102</v>
      </c>
      <c r="C242" t="s">
        <v>425</v>
      </c>
      <c r="D242" s="10">
        <v>-4056230.71</v>
      </c>
      <c r="F242">
        <v>0</v>
      </c>
      <c r="H242" s="10">
        <v>29573.24</v>
      </c>
      <c r="J242" s="10">
        <v>4085803.95</v>
      </c>
      <c r="K242" t="s">
        <v>35</v>
      </c>
      <c r="L242" s="1">
        <f t="shared" si="3"/>
        <v>-4085803.95</v>
      </c>
      <c r="N242" s="6" t="str">
        <f>IF(ISERROR(VLOOKUP($A242,'Plano de Contas'!#REF!,8,FALSE)),"",VLOOKUP($A242,'Plano de Contas'!#REF!,8,FALSE))</f>
        <v/>
      </c>
      <c r="P242" s="6" t="str">
        <f>IF(ISERROR(VLOOKUP($A242,'Plano de Contas'!#REF!,10,FALSE)),"",VLOOKUP($A242,'Plano de Contas'!#REF!,10,FALSE))</f>
        <v/>
      </c>
    </row>
    <row r="243" spans="1:16" x14ac:dyDescent="0.25">
      <c r="A243" t="s">
        <v>426</v>
      </c>
      <c r="B243">
        <v>462</v>
      </c>
      <c r="C243" t="s">
        <v>427</v>
      </c>
      <c r="D243" s="10">
        <v>1630351.19</v>
      </c>
      <c r="E243" t="s">
        <v>35</v>
      </c>
      <c r="F243">
        <v>0</v>
      </c>
      <c r="H243" s="10">
        <v>4410.87</v>
      </c>
      <c r="I243" t="s">
        <v>35</v>
      </c>
      <c r="J243" s="10">
        <v>1634762.06</v>
      </c>
      <c r="K243" t="s">
        <v>35</v>
      </c>
      <c r="L243" s="1">
        <f t="shared" si="3"/>
        <v>-1634762.06</v>
      </c>
      <c r="N243" s="6" t="str">
        <f>IF(ISERROR(VLOOKUP($A243,'Plano de Contas'!#REF!,8,FALSE)),"",VLOOKUP($A243,'Plano de Contas'!#REF!,8,FALSE))</f>
        <v/>
      </c>
      <c r="P243" s="6" t="str">
        <f>IF(ISERROR(VLOOKUP($A243,'Plano de Contas'!#REF!,10,FALSE)),"",VLOOKUP($A243,'Plano de Contas'!#REF!,10,FALSE))</f>
        <v/>
      </c>
    </row>
    <row r="244" spans="1:16" x14ac:dyDescent="0.25">
      <c r="A244" t="s">
        <v>428</v>
      </c>
      <c r="B244">
        <v>465</v>
      </c>
      <c r="C244" t="s">
        <v>429</v>
      </c>
      <c r="D244" s="10">
        <v>-353758.4</v>
      </c>
      <c r="F244">
        <v>0</v>
      </c>
      <c r="H244" s="10">
        <v>6205.03</v>
      </c>
      <c r="J244" s="10">
        <v>359963.43</v>
      </c>
      <c r="K244" t="s">
        <v>35</v>
      </c>
      <c r="L244" s="1">
        <f t="shared" si="3"/>
        <v>-359963.43</v>
      </c>
      <c r="N244" s="6" t="str">
        <f>IF(ISERROR(VLOOKUP($A244,'Plano de Contas'!#REF!,8,FALSE)),"",VLOOKUP($A244,'Plano de Contas'!#REF!,8,FALSE))</f>
        <v/>
      </c>
      <c r="P244" s="6" t="str">
        <f>IF(ISERROR(VLOOKUP($A244,'Plano de Contas'!#REF!,10,FALSE)),"",VLOOKUP($A244,'Plano de Contas'!#REF!,10,FALSE))</f>
        <v/>
      </c>
    </row>
    <row r="245" spans="1:16" x14ac:dyDescent="0.25">
      <c r="A245" t="s">
        <v>430</v>
      </c>
      <c r="B245">
        <v>955</v>
      </c>
      <c r="C245" t="s">
        <v>431</v>
      </c>
      <c r="D245" s="10">
        <v>1228.54</v>
      </c>
      <c r="E245" t="s">
        <v>35</v>
      </c>
      <c r="F245" s="10">
        <v>1228.54</v>
      </c>
      <c r="H245">
        <v>0</v>
      </c>
      <c r="J245">
        <v>0</v>
      </c>
      <c r="L245" s="1">
        <f t="shared" si="3"/>
        <v>0</v>
      </c>
      <c r="N245" s="6" t="str">
        <f>IF(ISERROR(VLOOKUP($A245,'Plano de Contas'!#REF!,8,FALSE)),"",VLOOKUP($A245,'Plano de Contas'!#REF!,8,FALSE))</f>
        <v/>
      </c>
      <c r="P245" s="6" t="str">
        <f>IF(ISERROR(VLOOKUP($A245,'Plano de Contas'!#REF!,10,FALSE)),"",VLOOKUP($A245,'Plano de Contas'!#REF!,10,FALSE))</f>
        <v/>
      </c>
    </row>
    <row r="246" spans="1:16" x14ac:dyDescent="0.25">
      <c r="A246" t="s">
        <v>432</v>
      </c>
      <c r="B246">
        <v>956</v>
      </c>
      <c r="C246" t="s">
        <v>433</v>
      </c>
      <c r="D246" s="10">
        <v>1223.8399999999999</v>
      </c>
      <c r="E246" t="s">
        <v>35</v>
      </c>
      <c r="F246" s="10">
        <v>1223.8399999999999</v>
      </c>
      <c r="H246">
        <v>0</v>
      </c>
      <c r="J246">
        <v>0</v>
      </c>
      <c r="L246" s="1">
        <f t="shared" si="3"/>
        <v>0</v>
      </c>
      <c r="N246" s="6" t="str">
        <f>IF(ISERROR(VLOOKUP($A246,'Plano de Contas'!#REF!,8,FALSE)),"",VLOOKUP($A246,'Plano de Contas'!#REF!,8,FALSE))</f>
        <v/>
      </c>
      <c r="P246" s="6" t="str">
        <f>IF(ISERROR(VLOOKUP($A246,'Plano de Contas'!#REF!,10,FALSE)),"",VLOOKUP($A246,'Plano de Contas'!#REF!,10,FALSE))</f>
        <v/>
      </c>
    </row>
    <row r="247" spans="1:16" x14ac:dyDescent="0.25">
      <c r="L247" s="35">
        <f t="shared" si="3"/>
        <v>0</v>
      </c>
      <c r="N247" s="6" t="str">
        <f>IF(ISERROR(VLOOKUP($A247,'Plano de Contas'!#REF!,8,FALSE)),"",VLOOKUP($A247,'Plano de Contas'!#REF!,8,FALSE))</f>
        <v/>
      </c>
      <c r="P247" s="6" t="str">
        <f>IF(ISERROR(VLOOKUP($A247,'Plano de Contas'!#REF!,10,FALSE)),"",VLOOKUP($A247,'Plano de Contas'!#REF!,10,FALSE))</f>
        <v/>
      </c>
    </row>
    <row r="248" spans="1:16" x14ac:dyDescent="0.25">
      <c r="A248" t="s">
        <v>434</v>
      </c>
      <c r="B248">
        <v>103</v>
      </c>
      <c r="C248" t="s">
        <v>415</v>
      </c>
      <c r="D248" s="10">
        <v>27264188.02</v>
      </c>
      <c r="E248" t="s">
        <v>35</v>
      </c>
      <c r="F248" s="10">
        <v>262932.65000000002</v>
      </c>
      <c r="H248" s="10">
        <v>66682.11</v>
      </c>
      <c r="I248" t="s">
        <v>35</v>
      </c>
      <c r="J248" s="10">
        <v>27067937.48</v>
      </c>
      <c r="K248" t="s">
        <v>35</v>
      </c>
      <c r="L248" s="1">
        <f t="shared" si="3"/>
        <v>-27067937.48</v>
      </c>
      <c r="N248" s="6" t="str">
        <f>IF(ISERROR(VLOOKUP($A248,'Plano de Contas'!#REF!,8,FALSE)),"",VLOOKUP($A248,'Plano de Contas'!#REF!,8,FALSE))</f>
        <v/>
      </c>
      <c r="P248" s="6" t="str">
        <f>IF(ISERROR(VLOOKUP($A248,'Plano de Contas'!#REF!,10,FALSE)),"",VLOOKUP($A248,'Plano de Contas'!#REF!,10,FALSE))</f>
        <v/>
      </c>
    </row>
    <row r="249" spans="1:16" x14ac:dyDescent="0.25">
      <c r="A249" t="s">
        <v>435</v>
      </c>
      <c r="B249">
        <v>104</v>
      </c>
      <c r="C249" t="s">
        <v>436</v>
      </c>
      <c r="D249" s="10">
        <v>4562144.17</v>
      </c>
      <c r="E249" t="s">
        <v>35</v>
      </c>
      <c r="F249">
        <v>0</v>
      </c>
      <c r="H249" s="10">
        <v>8862.23</v>
      </c>
      <c r="I249" t="s">
        <v>35</v>
      </c>
      <c r="J249" s="10">
        <v>4571006.4000000004</v>
      </c>
      <c r="K249" t="s">
        <v>35</v>
      </c>
      <c r="L249" s="1">
        <f t="shared" si="3"/>
        <v>-4571006.4000000004</v>
      </c>
      <c r="N249" s="6" t="str">
        <f>IF(ISERROR(VLOOKUP($A249,'Plano de Contas'!#REF!,8,FALSE)),"",VLOOKUP($A249,'Plano de Contas'!#REF!,8,FALSE))</f>
        <v/>
      </c>
      <c r="P249" s="6" t="str">
        <f>IF(ISERROR(VLOOKUP($A249,'Plano de Contas'!#REF!,10,FALSE)),"",VLOOKUP($A249,'Plano de Contas'!#REF!,10,FALSE))</f>
        <v/>
      </c>
    </row>
    <row r="250" spans="1:16" x14ac:dyDescent="0.25">
      <c r="A250" t="s">
        <v>437</v>
      </c>
      <c r="B250">
        <v>105</v>
      </c>
      <c r="C250" t="s">
        <v>438</v>
      </c>
      <c r="D250" s="10">
        <v>22145903.100000001</v>
      </c>
      <c r="E250" t="s">
        <v>35</v>
      </c>
      <c r="F250">
        <v>0</v>
      </c>
      <c r="H250" s="10">
        <v>57573.03</v>
      </c>
      <c r="I250" t="s">
        <v>35</v>
      </c>
      <c r="J250" s="10">
        <v>22203476.129999999</v>
      </c>
      <c r="K250" t="s">
        <v>35</v>
      </c>
      <c r="L250" s="35">
        <f t="shared" si="3"/>
        <v>-22203476.129999999</v>
      </c>
      <c r="N250" s="6" t="str">
        <f>IF(ISERROR(VLOOKUP($A250,'Plano de Contas'!#REF!,8,FALSE)),"",VLOOKUP($A250,'Plano de Contas'!#REF!,8,FALSE))</f>
        <v/>
      </c>
      <c r="P250" s="6" t="str">
        <f>IF(ISERROR(VLOOKUP($A250,'Plano de Contas'!#REF!,10,FALSE)),"",VLOOKUP($A250,'Plano de Contas'!#REF!,10,FALSE))</f>
        <v/>
      </c>
    </row>
    <row r="251" spans="1:16" x14ac:dyDescent="0.25">
      <c r="A251" t="s">
        <v>439</v>
      </c>
      <c r="B251">
        <v>106</v>
      </c>
      <c r="C251" t="s">
        <v>440</v>
      </c>
      <c r="D251" s="10">
        <v>131809.38</v>
      </c>
      <c r="E251" t="s">
        <v>35</v>
      </c>
      <c r="F251" s="10">
        <v>131809.38</v>
      </c>
      <c r="H251">
        <v>0</v>
      </c>
      <c r="J251">
        <v>0</v>
      </c>
      <c r="L251" s="35">
        <f t="shared" si="3"/>
        <v>0</v>
      </c>
      <c r="N251" s="6" t="str">
        <f>IF(ISERROR(VLOOKUP($A251,'Plano de Contas'!#REF!,8,FALSE)),"",VLOOKUP($A251,'Plano de Contas'!#REF!,8,FALSE))</f>
        <v/>
      </c>
      <c r="P251" s="6" t="str">
        <f>IF(ISERROR(VLOOKUP($A251,'Plano de Contas'!#REF!,10,FALSE)),"",VLOOKUP($A251,'Plano de Contas'!#REF!,10,FALSE))</f>
        <v/>
      </c>
    </row>
    <row r="252" spans="1:16" x14ac:dyDescent="0.25">
      <c r="A252" t="s">
        <v>441</v>
      </c>
      <c r="B252">
        <v>107</v>
      </c>
      <c r="C252" t="s">
        <v>442</v>
      </c>
      <c r="D252" s="10">
        <v>-131123.26999999999</v>
      </c>
      <c r="F252" s="10">
        <v>131123.26999999999</v>
      </c>
      <c r="H252">
        <v>0</v>
      </c>
      <c r="J252">
        <v>0</v>
      </c>
      <c r="L252" s="1">
        <f t="shared" si="3"/>
        <v>0</v>
      </c>
      <c r="N252" s="6" t="str">
        <f>IF(ISERROR(VLOOKUP($A252,'Plano de Contas'!#REF!,8,FALSE)),"",VLOOKUP($A252,'Plano de Contas'!#REF!,8,FALSE))</f>
        <v/>
      </c>
      <c r="P252" s="6" t="str">
        <f>IF(ISERROR(VLOOKUP($A252,'Plano de Contas'!#REF!,10,FALSE)),"",VLOOKUP($A252,'Plano de Contas'!#REF!,10,FALSE))</f>
        <v/>
      </c>
    </row>
    <row r="253" spans="1:16" x14ac:dyDescent="0.25">
      <c r="A253" t="s">
        <v>443</v>
      </c>
      <c r="B253">
        <v>108</v>
      </c>
      <c r="C253" t="s">
        <v>444</v>
      </c>
      <c r="D253" s="10">
        <v>264529.94</v>
      </c>
      <c r="E253" t="s">
        <v>35</v>
      </c>
      <c r="F253">
        <v>0</v>
      </c>
      <c r="H253">
        <v>0</v>
      </c>
      <c r="J253" s="10">
        <v>264529.94</v>
      </c>
      <c r="K253" t="s">
        <v>35</v>
      </c>
      <c r="L253" s="1">
        <f t="shared" si="3"/>
        <v>-264529.94</v>
      </c>
      <c r="N253" s="6" t="str">
        <f>IF(ISERROR(VLOOKUP($A253,'Plano de Contas'!#REF!,8,FALSE)),"",VLOOKUP($A253,'Plano de Contas'!#REF!,8,FALSE))</f>
        <v/>
      </c>
      <c r="P253" s="6" t="str">
        <f>IF(ISERROR(VLOOKUP($A253,'Plano de Contas'!#REF!,10,FALSE)),"",VLOOKUP($A253,'Plano de Contas'!#REF!,10,FALSE))</f>
        <v/>
      </c>
    </row>
    <row r="254" spans="1:16" x14ac:dyDescent="0.25">
      <c r="A254" t="s">
        <v>445</v>
      </c>
      <c r="B254">
        <v>463</v>
      </c>
      <c r="C254" t="s">
        <v>446</v>
      </c>
      <c r="D254" s="10">
        <v>28678.16</v>
      </c>
      <c r="E254" t="s">
        <v>35</v>
      </c>
      <c r="F254">
        <v>0</v>
      </c>
      <c r="H254">
        <v>246.85</v>
      </c>
      <c r="I254" t="s">
        <v>35</v>
      </c>
      <c r="J254" s="10">
        <v>28925.01</v>
      </c>
      <c r="K254" t="s">
        <v>35</v>
      </c>
      <c r="L254" s="35">
        <f t="shared" si="3"/>
        <v>-28925.01</v>
      </c>
      <c r="N254" s="6" t="str">
        <f>IF(ISERROR(VLOOKUP($A254,'Plano de Contas'!#REF!,8,FALSE)),"",VLOOKUP($A254,'Plano de Contas'!#REF!,8,FALSE))</f>
        <v/>
      </c>
      <c r="P254" s="6" t="str">
        <f>IF(ISERROR(VLOOKUP($A254,'Plano de Contas'!#REF!,10,FALSE)),"",VLOOKUP($A254,'Plano de Contas'!#REF!,10,FALSE))</f>
        <v/>
      </c>
    </row>
    <row r="255" spans="1:16" x14ac:dyDescent="0.25">
      <c r="L255" s="35">
        <f t="shared" si="3"/>
        <v>0</v>
      </c>
      <c r="N255" s="6" t="str">
        <f>IF(ISERROR(VLOOKUP($A255,'Plano de Contas'!#REF!,8,FALSE)),"",VLOOKUP($A255,'Plano de Contas'!#REF!,8,FALSE))</f>
        <v/>
      </c>
      <c r="P255" s="6" t="str">
        <f>IF(ISERROR(VLOOKUP($A255,'Plano de Contas'!#REF!,10,FALSE)),"",VLOOKUP($A255,'Plano de Contas'!#REF!,10,FALSE))</f>
        <v/>
      </c>
    </row>
    <row r="256" spans="1:16" x14ac:dyDescent="0.25">
      <c r="A256" t="s">
        <v>1022</v>
      </c>
      <c r="B256">
        <v>996</v>
      </c>
      <c r="C256" t="s">
        <v>1023</v>
      </c>
      <c r="D256">
        <v>0</v>
      </c>
      <c r="F256" s="10">
        <v>2172811479.2399998</v>
      </c>
      <c r="H256">
        <v>0</v>
      </c>
      <c r="J256" s="10">
        <v>2172811479.2399998</v>
      </c>
      <c r="L256" s="62">
        <f t="shared" si="3"/>
        <v>2172811479.2399998</v>
      </c>
      <c r="N256" s="6" t="str">
        <f>IF(ISERROR(VLOOKUP($A256,'Plano de Contas'!#REF!,8,FALSE)),"",VLOOKUP($A256,'Plano de Contas'!#REF!,8,FALSE))</f>
        <v/>
      </c>
      <c r="P256" s="6" t="str">
        <f>IF(ISERROR(VLOOKUP($A256,'Plano de Contas'!#REF!,10,FALSE)),"",VLOOKUP($A256,'Plano de Contas'!#REF!,10,FALSE))</f>
        <v/>
      </c>
    </row>
    <row r="257" spans="1:16" x14ac:dyDescent="0.25">
      <c r="A257" t="s">
        <v>1024</v>
      </c>
      <c r="B257">
        <v>997</v>
      </c>
      <c r="C257" t="s">
        <v>1025</v>
      </c>
      <c r="D257">
        <v>0</v>
      </c>
      <c r="F257" s="10">
        <v>1621072052.5899999</v>
      </c>
      <c r="H257">
        <v>0</v>
      </c>
      <c r="J257" s="10">
        <v>1621072052.5899999</v>
      </c>
      <c r="L257" s="62">
        <f t="shared" si="3"/>
        <v>1621072052.5899999</v>
      </c>
      <c r="N257" s="6" t="str">
        <f>IF(ISERROR(VLOOKUP($A257,'Plano de Contas'!#REF!,8,FALSE)),"",VLOOKUP($A257,'Plano de Contas'!#REF!,8,FALSE))</f>
        <v/>
      </c>
      <c r="P257" s="6" t="str">
        <f>IF(ISERROR(VLOOKUP($A257,'Plano de Contas'!#REF!,10,FALSE)),"",VLOOKUP($A257,'Plano de Contas'!#REF!,10,FALSE))</f>
        <v/>
      </c>
    </row>
    <row r="258" spans="1:16" x14ac:dyDescent="0.25">
      <c r="A258" t="s">
        <v>1026</v>
      </c>
      <c r="B258">
        <v>998</v>
      </c>
      <c r="C258" t="s">
        <v>1027</v>
      </c>
      <c r="D258">
        <v>0</v>
      </c>
      <c r="F258" s="10">
        <v>10854530.52</v>
      </c>
      <c r="H258">
        <v>0</v>
      </c>
      <c r="J258" s="10">
        <v>10854530.52</v>
      </c>
      <c r="L258" s="62">
        <f t="shared" si="3"/>
        <v>10854530.52</v>
      </c>
      <c r="N258" s="6" t="str">
        <f>IF(ISERROR(VLOOKUP($A258,'Plano de Contas'!#REF!,8,FALSE)),"",VLOOKUP($A258,'Plano de Contas'!#REF!,8,FALSE))</f>
        <v/>
      </c>
      <c r="P258" s="6" t="str">
        <f>IF(ISERROR(VLOOKUP($A258,'Plano de Contas'!#REF!,10,FALSE)),"",VLOOKUP($A258,'Plano de Contas'!#REF!,10,FALSE))</f>
        <v/>
      </c>
    </row>
    <row r="259" spans="1:16" x14ac:dyDescent="0.25">
      <c r="A259" t="s">
        <v>1028</v>
      </c>
      <c r="B259">
        <v>1006</v>
      </c>
      <c r="C259" t="s">
        <v>1029</v>
      </c>
      <c r="D259">
        <v>0</v>
      </c>
      <c r="F259" s="10">
        <v>7607.57</v>
      </c>
      <c r="H259">
        <v>0</v>
      </c>
      <c r="J259" s="10">
        <v>7607.57</v>
      </c>
      <c r="L259" s="62">
        <f t="shared" si="3"/>
        <v>7607.57</v>
      </c>
      <c r="N259" s="6" t="str">
        <f>IF(ISERROR(VLOOKUP($A259,'Plano de Contas'!#REF!,8,FALSE)),"",VLOOKUP($A259,'Plano de Contas'!#REF!,8,FALSE))</f>
        <v/>
      </c>
      <c r="P259" s="6" t="str">
        <f>IF(ISERROR(VLOOKUP($A259,'Plano de Contas'!#REF!,10,FALSE)),"",VLOOKUP($A259,'Plano de Contas'!#REF!,10,FALSE))</f>
        <v/>
      </c>
    </row>
    <row r="260" spans="1:16" x14ac:dyDescent="0.25">
      <c r="A260" t="s">
        <v>1030</v>
      </c>
      <c r="B260">
        <v>1013</v>
      </c>
      <c r="C260" t="s">
        <v>1031</v>
      </c>
      <c r="D260">
        <v>0</v>
      </c>
      <c r="F260" s="10">
        <v>2314875.4900000002</v>
      </c>
      <c r="H260">
        <v>0</v>
      </c>
      <c r="J260" s="10">
        <v>2314875.4900000002</v>
      </c>
      <c r="L260" s="62">
        <f t="shared" si="3"/>
        <v>2314875.4900000002</v>
      </c>
      <c r="N260" s="6" t="str">
        <f>IF(ISERROR(VLOOKUP($A260,'Plano de Contas'!#REF!,8,FALSE)),"",VLOOKUP($A260,'Plano de Contas'!#REF!,8,FALSE))</f>
        <v/>
      </c>
      <c r="P260" s="6" t="str">
        <f>IF(ISERROR(VLOOKUP($A260,'Plano de Contas'!#REF!,10,FALSE)),"",VLOOKUP($A260,'Plano de Contas'!#REF!,10,FALSE))</f>
        <v/>
      </c>
    </row>
    <row r="261" spans="1:16" x14ac:dyDescent="0.25">
      <c r="A261" t="s">
        <v>1032</v>
      </c>
      <c r="B261">
        <v>1015</v>
      </c>
      <c r="C261" t="s">
        <v>1033</v>
      </c>
      <c r="D261">
        <v>0</v>
      </c>
      <c r="F261" s="10">
        <v>259643.58</v>
      </c>
      <c r="H261">
        <v>0</v>
      </c>
      <c r="J261" s="10">
        <v>259643.58</v>
      </c>
      <c r="L261" s="62">
        <f t="shared" si="3"/>
        <v>259643.58</v>
      </c>
      <c r="N261" s="6" t="str">
        <f>IF(ISERROR(VLOOKUP($A261,'Plano de Contas'!#REF!,8,FALSE)),"",VLOOKUP($A261,'Plano de Contas'!#REF!,8,FALSE))</f>
        <v/>
      </c>
      <c r="P261" s="6" t="str">
        <f>IF(ISERROR(VLOOKUP($A261,'Plano de Contas'!#REF!,10,FALSE)),"",VLOOKUP($A261,'Plano de Contas'!#REF!,10,FALSE))</f>
        <v/>
      </c>
    </row>
    <row r="262" spans="1:16" x14ac:dyDescent="0.25">
      <c r="A262" t="s">
        <v>1034</v>
      </c>
      <c r="B262">
        <v>1017</v>
      </c>
      <c r="C262" t="s">
        <v>1035</v>
      </c>
      <c r="D262">
        <v>0</v>
      </c>
      <c r="F262" s="10">
        <v>39950.959999999999</v>
      </c>
      <c r="H262">
        <v>0</v>
      </c>
      <c r="J262" s="10">
        <v>39950.959999999999</v>
      </c>
      <c r="L262" s="1">
        <f t="shared" si="3"/>
        <v>39950.959999999999</v>
      </c>
      <c r="N262" s="6" t="str">
        <f>IF(ISERROR(VLOOKUP($A262,'Plano de Contas'!#REF!,8,FALSE)),"",VLOOKUP($A262,'Plano de Contas'!#REF!,8,FALSE))</f>
        <v/>
      </c>
      <c r="P262" s="6" t="str">
        <f>IF(ISERROR(VLOOKUP($A262,'Plano de Contas'!#REF!,10,FALSE)),"",VLOOKUP($A262,'Plano de Contas'!#REF!,10,FALSE))</f>
        <v/>
      </c>
    </row>
    <row r="263" spans="1:16" x14ac:dyDescent="0.25">
      <c r="A263" t="s">
        <v>1036</v>
      </c>
      <c r="B263">
        <v>1018</v>
      </c>
      <c r="C263" t="s">
        <v>1037</v>
      </c>
      <c r="D263">
        <v>0</v>
      </c>
      <c r="F263" s="10">
        <v>1941082.32</v>
      </c>
      <c r="H263">
        <v>0</v>
      </c>
      <c r="J263" s="10">
        <v>1941082.32</v>
      </c>
      <c r="L263" s="1">
        <f t="shared" si="3"/>
        <v>1941082.32</v>
      </c>
      <c r="N263" s="6" t="str">
        <f>IF(ISERROR(VLOOKUP($A263,'Plano de Contas'!#REF!,8,FALSE)),"",VLOOKUP($A263,'Plano de Contas'!#REF!,8,FALSE))</f>
        <v/>
      </c>
      <c r="P263" s="6" t="str">
        <f>IF(ISERROR(VLOOKUP($A263,'Plano de Contas'!#REF!,10,FALSE)),"",VLOOKUP($A263,'Plano de Contas'!#REF!,10,FALSE))</f>
        <v/>
      </c>
    </row>
    <row r="264" spans="1:16" x14ac:dyDescent="0.25">
      <c r="A264" t="s">
        <v>1038</v>
      </c>
      <c r="B264">
        <v>1020</v>
      </c>
      <c r="C264" t="s">
        <v>1039</v>
      </c>
      <c r="D264">
        <v>0</v>
      </c>
      <c r="F264" s="10">
        <v>12618172.24</v>
      </c>
      <c r="H264">
        <v>0</v>
      </c>
      <c r="J264" s="10">
        <v>12618172.24</v>
      </c>
      <c r="L264" s="1">
        <f t="shared" ref="L264:L327" si="4">IF(K264="-",-J264,J264)</f>
        <v>12618172.24</v>
      </c>
      <c r="N264" s="6" t="str">
        <f>IF(ISERROR(VLOOKUP($A264,'Plano de Contas'!#REF!,8,FALSE)),"",VLOOKUP($A264,'Plano de Contas'!#REF!,8,FALSE))</f>
        <v/>
      </c>
      <c r="P264" s="6" t="str">
        <f>IF(ISERROR(VLOOKUP($A264,'Plano de Contas'!#REF!,10,FALSE)),"",VLOOKUP($A264,'Plano de Contas'!#REF!,10,FALSE))</f>
        <v/>
      </c>
    </row>
    <row r="265" spans="1:16" x14ac:dyDescent="0.25">
      <c r="A265" t="s">
        <v>1040</v>
      </c>
      <c r="B265">
        <v>1024</v>
      </c>
      <c r="C265" t="s">
        <v>1041</v>
      </c>
      <c r="D265">
        <v>0</v>
      </c>
      <c r="F265">
        <v>146.80000000000001</v>
      </c>
      <c r="H265">
        <v>0</v>
      </c>
      <c r="J265">
        <v>146.80000000000001</v>
      </c>
      <c r="L265" s="1">
        <f t="shared" si="4"/>
        <v>146.80000000000001</v>
      </c>
      <c r="N265" s="6" t="str">
        <f>IF(ISERROR(VLOOKUP($A265,'Plano de Contas'!#REF!,8,FALSE)),"",VLOOKUP($A265,'Plano de Contas'!#REF!,8,FALSE))</f>
        <v/>
      </c>
      <c r="P265" s="6" t="str">
        <f>IF(ISERROR(VLOOKUP($A265,'Plano de Contas'!#REF!,10,FALSE)),"",VLOOKUP($A265,'Plano de Contas'!#REF!,10,FALSE))</f>
        <v/>
      </c>
    </row>
    <row r="266" spans="1:16" x14ac:dyDescent="0.25">
      <c r="A266" t="s">
        <v>1042</v>
      </c>
      <c r="B266">
        <v>1025</v>
      </c>
      <c r="C266" t="s">
        <v>1043</v>
      </c>
      <c r="D266">
        <v>0</v>
      </c>
      <c r="F266">
        <v>138.65</v>
      </c>
      <c r="H266">
        <v>0</v>
      </c>
      <c r="J266">
        <v>138.65</v>
      </c>
      <c r="L266" s="1">
        <f t="shared" si="4"/>
        <v>138.65</v>
      </c>
      <c r="N266" s="6" t="str">
        <f>IF(ISERROR(VLOOKUP($A266,'Plano de Contas'!#REF!,8,FALSE)),"",VLOOKUP($A266,'Plano de Contas'!#REF!,8,FALSE))</f>
        <v/>
      </c>
      <c r="P266" s="6" t="str">
        <f>IF(ISERROR(VLOOKUP($A266,'Plano de Contas'!#REF!,10,FALSE)),"",VLOOKUP($A266,'Plano de Contas'!#REF!,10,FALSE))</f>
        <v/>
      </c>
    </row>
    <row r="267" spans="1:16" x14ac:dyDescent="0.25">
      <c r="A267" t="s">
        <v>1044</v>
      </c>
      <c r="B267">
        <v>1026</v>
      </c>
      <c r="C267" t="s">
        <v>1045</v>
      </c>
      <c r="D267">
        <v>0</v>
      </c>
      <c r="F267">
        <v>555.9</v>
      </c>
      <c r="H267">
        <v>0</v>
      </c>
      <c r="J267">
        <v>555.9</v>
      </c>
      <c r="L267" s="1">
        <f t="shared" si="4"/>
        <v>555.9</v>
      </c>
      <c r="N267" s="6" t="str">
        <f>IF(ISERROR(VLOOKUP($A267,'Plano de Contas'!#REF!,8,FALSE)),"",VLOOKUP($A267,'Plano de Contas'!#REF!,8,FALSE))</f>
        <v/>
      </c>
      <c r="P267" s="6" t="str">
        <f>IF(ISERROR(VLOOKUP($A267,'Plano de Contas'!#REF!,10,FALSE)),"",VLOOKUP($A267,'Plano de Contas'!#REF!,10,FALSE))</f>
        <v/>
      </c>
    </row>
    <row r="268" spans="1:16" x14ac:dyDescent="0.25">
      <c r="A268" t="s">
        <v>1046</v>
      </c>
      <c r="B268">
        <v>1044</v>
      </c>
      <c r="C268" t="s">
        <v>1047</v>
      </c>
      <c r="D268">
        <v>0</v>
      </c>
      <c r="F268" s="10">
        <v>523702722.62</v>
      </c>
      <c r="H268">
        <v>0</v>
      </c>
      <c r="J268" s="10">
        <v>523702722.62</v>
      </c>
      <c r="L268" s="1">
        <f t="shared" si="4"/>
        <v>523702722.62</v>
      </c>
      <c r="N268" s="6" t="str">
        <f>IF(ISERROR(VLOOKUP($A268,'Plano de Contas'!#REF!,8,FALSE)),"",VLOOKUP($A268,'Plano de Contas'!#REF!,8,FALSE))</f>
        <v/>
      </c>
      <c r="P268" s="6" t="str">
        <f>IF(ISERROR(VLOOKUP($A268,'Plano de Contas'!#REF!,10,FALSE)),"",VLOOKUP($A268,'Plano de Contas'!#REF!,10,FALSE))</f>
        <v/>
      </c>
    </row>
    <row r="269" spans="1:16" x14ac:dyDescent="0.25">
      <c r="L269" s="1">
        <f t="shared" si="4"/>
        <v>0</v>
      </c>
      <c r="N269" s="6" t="str">
        <f>IF(ISERROR(VLOOKUP($A269,'Plano de Contas'!#REF!,8,FALSE)),"",VLOOKUP($A269,'Plano de Contas'!#REF!,8,FALSE))</f>
        <v/>
      </c>
      <c r="P269" s="6" t="str">
        <f>IF(ISERROR(VLOOKUP($A269,'Plano de Contas'!#REF!,10,FALSE)),"",VLOOKUP($A269,'Plano de Contas'!#REF!,10,FALSE))</f>
        <v/>
      </c>
    </row>
    <row r="270" spans="1:16" x14ac:dyDescent="0.25">
      <c r="A270" t="s">
        <v>447</v>
      </c>
      <c r="B270">
        <v>784</v>
      </c>
      <c r="C270" t="s">
        <v>448</v>
      </c>
      <c r="D270" s="10">
        <v>43645585.619999997</v>
      </c>
      <c r="F270" s="10">
        <v>704930.06</v>
      </c>
      <c r="H270" s="10">
        <v>29170.34</v>
      </c>
      <c r="I270" t="s">
        <v>35</v>
      </c>
      <c r="J270" s="10">
        <v>44321345.340000004</v>
      </c>
      <c r="L270" s="1">
        <f t="shared" si="4"/>
        <v>44321345.340000004</v>
      </c>
      <c r="N270" s="6" t="str">
        <f>IF(ISERROR(VLOOKUP($A270,'Plano de Contas'!#REF!,8,FALSE)),"",VLOOKUP($A270,'Plano de Contas'!#REF!,8,FALSE))</f>
        <v/>
      </c>
      <c r="P270" s="6" t="str">
        <f>IF(ISERROR(VLOOKUP($A270,'Plano de Contas'!#REF!,10,FALSE)),"",VLOOKUP($A270,'Plano de Contas'!#REF!,10,FALSE))</f>
        <v/>
      </c>
    </row>
    <row r="271" spans="1:16" x14ac:dyDescent="0.25">
      <c r="L271" s="1">
        <f t="shared" si="4"/>
        <v>0</v>
      </c>
      <c r="N271" s="6" t="str">
        <f>IF(ISERROR(VLOOKUP($A271,'Plano de Contas'!#REF!,8,FALSE)),"",VLOOKUP($A271,'Plano de Contas'!#REF!,8,FALSE))</f>
        <v/>
      </c>
      <c r="P271" s="6" t="str">
        <f>IF(ISERROR(VLOOKUP($A271,'Plano de Contas'!#REF!,10,FALSE)),"",VLOOKUP($A271,'Plano de Contas'!#REF!,10,FALSE))</f>
        <v/>
      </c>
    </row>
    <row r="272" spans="1:16" x14ac:dyDescent="0.25">
      <c r="A272" t="s">
        <v>449</v>
      </c>
      <c r="B272">
        <v>785</v>
      </c>
      <c r="C272" t="s">
        <v>450</v>
      </c>
      <c r="D272" s="10">
        <v>44982943.350000001</v>
      </c>
      <c r="F272" s="10">
        <v>704930.06</v>
      </c>
      <c r="H272">
        <v>0</v>
      </c>
      <c r="J272" s="10">
        <v>45687873.409999996</v>
      </c>
      <c r="L272" s="1">
        <f t="shared" si="4"/>
        <v>45687873.409999996</v>
      </c>
      <c r="N272" s="6" t="str">
        <f>IF(ISERROR(VLOOKUP($A272,'Plano de Contas'!#REF!,8,FALSE)),"",VLOOKUP($A272,'Plano de Contas'!#REF!,8,FALSE))</f>
        <v/>
      </c>
      <c r="P272" s="6" t="str">
        <f>IF(ISERROR(VLOOKUP($A272,'Plano de Contas'!#REF!,10,FALSE)),"",VLOOKUP($A272,'Plano de Contas'!#REF!,10,FALSE))</f>
        <v/>
      </c>
    </row>
    <row r="273" spans="1:16" x14ac:dyDescent="0.25">
      <c r="A273" t="s">
        <v>451</v>
      </c>
      <c r="B273">
        <v>786</v>
      </c>
      <c r="C273" t="s">
        <v>452</v>
      </c>
      <c r="D273" s="10">
        <v>615000</v>
      </c>
      <c r="F273">
        <v>0</v>
      </c>
      <c r="H273">
        <v>0</v>
      </c>
      <c r="J273" s="10">
        <v>615000</v>
      </c>
      <c r="L273" s="1">
        <f t="shared" si="4"/>
        <v>615000</v>
      </c>
      <c r="N273" s="6" t="str">
        <f>IF(ISERROR(VLOOKUP($A273,'Plano de Contas'!#REF!,8,FALSE)),"",VLOOKUP($A273,'Plano de Contas'!#REF!,8,FALSE))</f>
        <v/>
      </c>
      <c r="P273" s="6" t="str">
        <f>IF(ISERROR(VLOOKUP($A273,'Plano de Contas'!#REF!,10,FALSE)),"",VLOOKUP($A273,'Plano de Contas'!#REF!,10,FALSE))</f>
        <v/>
      </c>
    </row>
    <row r="274" spans="1:16" x14ac:dyDescent="0.25">
      <c r="A274" t="s">
        <v>453</v>
      </c>
      <c r="B274">
        <v>830</v>
      </c>
      <c r="C274" t="s">
        <v>454</v>
      </c>
      <c r="D274" s="10">
        <v>142710.35</v>
      </c>
      <c r="F274">
        <v>0</v>
      </c>
      <c r="H274">
        <v>0</v>
      </c>
      <c r="J274" s="10">
        <v>142710.35</v>
      </c>
      <c r="L274" s="1">
        <f t="shared" si="4"/>
        <v>142710.35</v>
      </c>
      <c r="N274" s="6" t="str">
        <f>IF(ISERROR(VLOOKUP($A274,'Plano de Contas'!#REF!,8,FALSE)),"",VLOOKUP($A274,'Plano de Contas'!#REF!,8,FALSE))</f>
        <v/>
      </c>
      <c r="P274" s="6" t="str">
        <f>IF(ISERROR(VLOOKUP($A274,'Plano de Contas'!#REF!,10,FALSE)),"",VLOOKUP($A274,'Plano de Contas'!#REF!,10,FALSE))</f>
        <v/>
      </c>
    </row>
    <row r="275" spans="1:16" x14ac:dyDescent="0.25">
      <c r="A275" t="s">
        <v>455</v>
      </c>
      <c r="B275">
        <v>831</v>
      </c>
      <c r="C275" t="s">
        <v>456</v>
      </c>
      <c r="D275" s="10">
        <v>142040.47</v>
      </c>
      <c r="F275">
        <v>0</v>
      </c>
      <c r="H275">
        <v>0</v>
      </c>
      <c r="J275" s="10">
        <v>142040.47</v>
      </c>
      <c r="L275" s="1">
        <f t="shared" si="4"/>
        <v>142040.47</v>
      </c>
      <c r="N275" s="6" t="str">
        <f>IF(ISERROR(VLOOKUP($A275,'Plano de Contas'!#REF!,8,FALSE)),"",VLOOKUP($A275,'Plano de Contas'!#REF!,8,FALSE))</f>
        <v/>
      </c>
      <c r="P275" s="6" t="str">
        <f>IF(ISERROR(VLOOKUP($A275,'Plano de Contas'!#REF!,10,FALSE)),"",VLOOKUP($A275,'Plano de Contas'!#REF!,10,FALSE))</f>
        <v/>
      </c>
    </row>
    <row r="276" spans="1:16" x14ac:dyDescent="0.25">
      <c r="A276" t="s">
        <v>457</v>
      </c>
      <c r="B276">
        <v>866</v>
      </c>
      <c r="C276" t="s">
        <v>1048</v>
      </c>
      <c r="D276" s="10">
        <v>1787658.7</v>
      </c>
      <c r="F276">
        <v>0</v>
      </c>
      <c r="H276">
        <v>0</v>
      </c>
      <c r="J276" s="10">
        <v>1787658.7</v>
      </c>
      <c r="L276" s="1">
        <f t="shared" si="4"/>
        <v>1787658.7</v>
      </c>
      <c r="N276" s="6" t="str">
        <f>IF(ISERROR(VLOOKUP($A276,'Plano de Contas'!#REF!,8,FALSE)),"",VLOOKUP($A276,'Plano de Contas'!#REF!,8,FALSE))</f>
        <v/>
      </c>
      <c r="P276" s="6" t="str">
        <f>IF(ISERROR(VLOOKUP($A276,'Plano de Contas'!#REF!,10,FALSE)),"",VLOOKUP($A276,'Plano de Contas'!#REF!,10,FALSE))</f>
        <v/>
      </c>
    </row>
    <row r="277" spans="1:16" x14ac:dyDescent="0.25">
      <c r="A277" t="s">
        <v>459</v>
      </c>
      <c r="B277">
        <v>867</v>
      </c>
      <c r="C277" t="s">
        <v>460</v>
      </c>
      <c r="D277" s="10">
        <v>1905455.56</v>
      </c>
      <c r="F277">
        <v>0</v>
      </c>
      <c r="H277">
        <v>0</v>
      </c>
      <c r="J277" s="10">
        <v>1905455.56</v>
      </c>
      <c r="L277" s="1">
        <f t="shared" si="4"/>
        <v>1905455.56</v>
      </c>
      <c r="N277" s="6" t="str">
        <f>IF(ISERROR(VLOOKUP($A277,'Plano de Contas'!#REF!,8,FALSE)),"",VLOOKUP($A277,'Plano de Contas'!#REF!,8,FALSE))</f>
        <v/>
      </c>
      <c r="P277" s="6" t="str">
        <f>IF(ISERROR(VLOOKUP($A277,'Plano de Contas'!#REF!,10,FALSE)),"",VLOOKUP($A277,'Plano de Contas'!#REF!,10,FALSE))</f>
        <v/>
      </c>
    </row>
    <row r="278" spans="1:16" x14ac:dyDescent="0.25">
      <c r="A278" t="s">
        <v>461</v>
      </c>
      <c r="B278">
        <v>868</v>
      </c>
      <c r="C278" t="s">
        <v>462</v>
      </c>
      <c r="D278">
        <v>643.07000000000005</v>
      </c>
      <c r="F278">
        <v>0</v>
      </c>
      <c r="H278">
        <v>0</v>
      </c>
      <c r="J278">
        <v>643.07000000000005</v>
      </c>
      <c r="L278" s="1">
        <f t="shared" si="4"/>
        <v>643.07000000000005</v>
      </c>
      <c r="N278" s="6" t="str">
        <f>IF(ISERROR(VLOOKUP($A278,'Plano de Contas'!#REF!,8,FALSE)),"",VLOOKUP($A278,'Plano de Contas'!#REF!,8,FALSE))</f>
        <v/>
      </c>
      <c r="P278" s="6" t="str">
        <f>IF(ISERROR(VLOOKUP($A278,'Plano de Contas'!#REF!,10,FALSE)),"",VLOOKUP($A278,'Plano de Contas'!#REF!,10,FALSE))</f>
        <v/>
      </c>
    </row>
    <row r="279" spans="1:16" x14ac:dyDescent="0.25">
      <c r="A279" t="s">
        <v>463</v>
      </c>
      <c r="B279">
        <v>869</v>
      </c>
      <c r="C279" t="s">
        <v>464</v>
      </c>
      <c r="D279" s="10">
        <v>50864.08</v>
      </c>
      <c r="F279">
        <v>0</v>
      </c>
      <c r="H279">
        <v>0</v>
      </c>
      <c r="J279" s="10">
        <v>50864.08</v>
      </c>
      <c r="L279" s="1">
        <f t="shared" si="4"/>
        <v>50864.08</v>
      </c>
      <c r="N279" s="6" t="str">
        <f>IF(ISERROR(VLOOKUP($A279,'Plano de Contas'!#REF!,8,FALSE)),"",VLOOKUP($A279,'Plano de Contas'!#REF!,8,FALSE))</f>
        <v/>
      </c>
      <c r="P279" s="6" t="str">
        <f>IF(ISERROR(VLOOKUP($A279,'Plano de Contas'!#REF!,10,FALSE)),"",VLOOKUP($A279,'Plano de Contas'!#REF!,10,FALSE))</f>
        <v/>
      </c>
    </row>
    <row r="280" spans="1:16" x14ac:dyDescent="0.25">
      <c r="A280" t="s">
        <v>465</v>
      </c>
      <c r="B280">
        <v>870</v>
      </c>
      <c r="C280" t="s">
        <v>466</v>
      </c>
      <c r="D280" s="10">
        <v>1244022.53</v>
      </c>
      <c r="F280">
        <v>0</v>
      </c>
      <c r="H280">
        <v>0</v>
      </c>
      <c r="J280" s="10">
        <v>1244022.53</v>
      </c>
      <c r="L280" s="1">
        <f t="shared" si="4"/>
        <v>1244022.53</v>
      </c>
      <c r="N280" s="6" t="str">
        <f>IF(ISERROR(VLOOKUP($A280,'Plano de Contas'!#REF!,8,FALSE)),"",VLOOKUP($A280,'Plano de Contas'!#REF!,8,FALSE))</f>
        <v/>
      </c>
      <c r="P280" s="6" t="str">
        <f>IF(ISERROR(VLOOKUP($A280,'Plano de Contas'!#REF!,10,FALSE)),"",VLOOKUP($A280,'Plano de Contas'!#REF!,10,FALSE))</f>
        <v/>
      </c>
    </row>
    <row r="281" spans="1:16" x14ac:dyDescent="0.25">
      <c r="A281" t="s">
        <v>467</v>
      </c>
      <c r="B281">
        <v>871</v>
      </c>
      <c r="C281" t="s">
        <v>468</v>
      </c>
      <c r="D281" s="10">
        <v>700000</v>
      </c>
      <c r="F281">
        <v>0</v>
      </c>
      <c r="H281">
        <v>0</v>
      </c>
      <c r="J281" s="10">
        <v>700000</v>
      </c>
      <c r="L281" s="1">
        <f t="shared" si="4"/>
        <v>700000</v>
      </c>
      <c r="N281" s="6" t="str">
        <f>IF(ISERROR(VLOOKUP($A281,'Plano de Contas'!#REF!,8,FALSE)),"",VLOOKUP($A281,'Plano de Contas'!#REF!,8,FALSE))</f>
        <v/>
      </c>
      <c r="P281" s="6" t="str">
        <f>IF(ISERROR(VLOOKUP($A281,'Plano de Contas'!#REF!,10,FALSE)),"",VLOOKUP($A281,'Plano de Contas'!#REF!,10,FALSE))</f>
        <v/>
      </c>
    </row>
    <row r="282" spans="1:16" x14ac:dyDescent="0.25">
      <c r="A282" t="s">
        <v>469</v>
      </c>
      <c r="B282">
        <v>872</v>
      </c>
      <c r="C282" t="s">
        <v>470</v>
      </c>
      <c r="D282" s="10">
        <v>149771.41</v>
      </c>
      <c r="F282">
        <v>0</v>
      </c>
      <c r="H282">
        <v>0</v>
      </c>
      <c r="J282" s="10">
        <v>149771.41</v>
      </c>
      <c r="L282" s="1">
        <f t="shared" si="4"/>
        <v>149771.41</v>
      </c>
      <c r="N282" s="6" t="str">
        <f>IF(ISERROR(VLOOKUP($A282,'Plano de Contas'!#REF!,8,FALSE)),"",VLOOKUP($A282,'Plano de Contas'!#REF!,8,FALSE))</f>
        <v/>
      </c>
      <c r="P282" s="6" t="str">
        <f>IF(ISERROR(VLOOKUP($A282,'Plano de Contas'!#REF!,10,FALSE)),"",VLOOKUP($A282,'Plano de Contas'!#REF!,10,FALSE))</f>
        <v/>
      </c>
    </row>
    <row r="283" spans="1:16" x14ac:dyDescent="0.25">
      <c r="A283" t="s">
        <v>471</v>
      </c>
      <c r="B283">
        <v>873</v>
      </c>
      <c r="C283" t="s">
        <v>472</v>
      </c>
      <c r="D283" s="10">
        <v>112895.46</v>
      </c>
      <c r="F283">
        <v>0</v>
      </c>
      <c r="H283">
        <v>0</v>
      </c>
      <c r="J283" s="10">
        <v>112895.46</v>
      </c>
      <c r="L283" s="1">
        <f t="shared" si="4"/>
        <v>112895.46</v>
      </c>
      <c r="N283" s="6" t="str">
        <f>IF(ISERROR(VLOOKUP($A283,'Plano de Contas'!#REF!,8,FALSE)),"",VLOOKUP($A283,'Plano de Contas'!#REF!,8,FALSE))</f>
        <v/>
      </c>
      <c r="P283" s="6" t="str">
        <f>IF(ISERROR(VLOOKUP($A283,'Plano de Contas'!#REF!,10,FALSE)),"",VLOOKUP($A283,'Plano de Contas'!#REF!,10,FALSE))</f>
        <v/>
      </c>
    </row>
    <row r="284" spans="1:16" x14ac:dyDescent="0.25">
      <c r="A284" t="s">
        <v>473</v>
      </c>
      <c r="B284">
        <v>874</v>
      </c>
      <c r="C284" t="s">
        <v>474</v>
      </c>
      <c r="D284" s="10">
        <v>278420.59000000003</v>
      </c>
      <c r="F284">
        <v>0</v>
      </c>
      <c r="H284">
        <v>0</v>
      </c>
      <c r="J284" s="10">
        <v>278420.59000000003</v>
      </c>
      <c r="L284" s="1">
        <f t="shared" si="4"/>
        <v>278420.59000000003</v>
      </c>
      <c r="N284" s="6" t="str">
        <f>IF(ISERROR(VLOOKUP($A284,'Plano de Contas'!#REF!,8,FALSE)),"",VLOOKUP($A284,'Plano de Contas'!#REF!,8,FALSE))</f>
        <v/>
      </c>
      <c r="P284" s="6" t="str">
        <f>IF(ISERROR(VLOOKUP($A284,'Plano de Contas'!#REF!,10,FALSE)),"",VLOOKUP($A284,'Plano de Contas'!#REF!,10,FALSE))</f>
        <v/>
      </c>
    </row>
    <row r="285" spans="1:16" x14ac:dyDescent="0.25">
      <c r="A285" t="s">
        <v>475</v>
      </c>
      <c r="B285">
        <v>875</v>
      </c>
      <c r="C285" t="s">
        <v>476</v>
      </c>
      <c r="D285" s="10">
        <v>4026900.94</v>
      </c>
      <c r="F285">
        <v>0</v>
      </c>
      <c r="H285">
        <v>0</v>
      </c>
      <c r="J285" s="10">
        <v>4026900.94</v>
      </c>
      <c r="L285" s="1">
        <f t="shared" si="4"/>
        <v>4026900.94</v>
      </c>
      <c r="N285" s="6" t="str">
        <f>IF(ISERROR(VLOOKUP($A285,'Plano de Contas'!#REF!,8,FALSE)),"",VLOOKUP($A285,'Plano de Contas'!#REF!,8,FALSE))</f>
        <v/>
      </c>
      <c r="P285" s="6" t="str">
        <f>IF(ISERROR(VLOOKUP($A285,'Plano de Contas'!#REF!,10,FALSE)),"",VLOOKUP($A285,'Plano de Contas'!#REF!,10,FALSE))</f>
        <v/>
      </c>
    </row>
    <row r="286" spans="1:16" x14ac:dyDescent="0.25">
      <c r="A286" t="s">
        <v>477</v>
      </c>
      <c r="B286">
        <v>878</v>
      </c>
      <c r="C286" t="s">
        <v>478</v>
      </c>
      <c r="D286" s="10">
        <v>4338500.72</v>
      </c>
      <c r="F286">
        <v>0</v>
      </c>
      <c r="H286">
        <v>0</v>
      </c>
      <c r="J286" s="10">
        <v>4338500.72</v>
      </c>
      <c r="L286" s="1">
        <f t="shared" si="4"/>
        <v>4338500.72</v>
      </c>
      <c r="N286" s="6" t="str">
        <f>IF(ISERROR(VLOOKUP($A286,'Plano de Contas'!#REF!,8,FALSE)),"",VLOOKUP($A286,'Plano de Contas'!#REF!,8,FALSE))</f>
        <v/>
      </c>
      <c r="P286" s="6" t="str">
        <f>IF(ISERROR(VLOOKUP($A286,'Plano de Contas'!#REF!,10,FALSE)),"",VLOOKUP($A286,'Plano de Contas'!#REF!,10,FALSE))</f>
        <v/>
      </c>
    </row>
    <row r="287" spans="1:16" x14ac:dyDescent="0.25">
      <c r="A287" t="s">
        <v>479</v>
      </c>
      <c r="B287">
        <v>903</v>
      </c>
      <c r="C287" t="s">
        <v>480</v>
      </c>
      <c r="D287" s="10">
        <v>67744.5</v>
      </c>
      <c r="F287">
        <v>0</v>
      </c>
      <c r="H287">
        <v>0</v>
      </c>
      <c r="J287" s="10">
        <v>67744.5</v>
      </c>
      <c r="L287" s="1">
        <f t="shared" si="4"/>
        <v>67744.5</v>
      </c>
      <c r="N287" s="6" t="str">
        <f>IF(ISERROR(VLOOKUP($A287,'Plano de Contas'!#REF!,8,FALSE)),"",VLOOKUP($A287,'Plano de Contas'!#REF!,8,FALSE))</f>
        <v/>
      </c>
      <c r="P287" s="6" t="str">
        <f>IF(ISERROR(VLOOKUP($A287,'Plano de Contas'!#REF!,10,FALSE)),"",VLOOKUP($A287,'Plano de Contas'!#REF!,10,FALSE))</f>
        <v/>
      </c>
    </row>
    <row r="288" spans="1:16" x14ac:dyDescent="0.25">
      <c r="A288" t="s">
        <v>481</v>
      </c>
      <c r="B288">
        <v>913</v>
      </c>
      <c r="C288" t="s">
        <v>482</v>
      </c>
      <c r="D288" s="10">
        <v>14187623.130000001</v>
      </c>
      <c r="F288">
        <v>0</v>
      </c>
      <c r="H288">
        <v>0</v>
      </c>
      <c r="J288" s="10">
        <v>14187623.130000001</v>
      </c>
      <c r="L288" s="1">
        <f t="shared" si="4"/>
        <v>14187623.130000001</v>
      </c>
      <c r="N288" s="6" t="str">
        <f>IF(ISERROR(VLOOKUP($A288,'Plano de Contas'!#REF!,8,FALSE)),"",VLOOKUP($A288,'Plano de Contas'!#REF!,8,FALSE))</f>
        <v/>
      </c>
      <c r="P288" s="6" t="str">
        <f>IF(ISERROR(VLOOKUP($A288,'Plano de Contas'!#REF!,10,FALSE)),"",VLOOKUP($A288,'Plano de Contas'!#REF!,10,FALSE))</f>
        <v/>
      </c>
    </row>
    <row r="289" spans="1:16" x14ac:dyDescent="0.25">
      <c r="A289" t="s">
        <v>483</v>
      </c>
      <c r="B289">
        <v>932</v>
      </c>
      <c r="C289" t="s">
        <v>484</v>
      </c>
      <c r="D289" s="10">
        <v>703122</v>
      </c>
      <c r="F289">
        <v>0</v>
      </c>
      <c r="H289">
        <v>0</v>
      </c>
      <c r="J289" s="10">
        <v>703122</v>
      </c>
      <c r="L289" s="1">
        <f t="shared" si="4"/>
        <v>703122</v>
      </c>
      <c r="N289" s="6" t="str">
        <f>IF(ISERROR(VLOOKUP($A289,'Plano de Contas'!#REF!,8,FALSE)),"",VLOOKUP($A289,'Plano de Contas'!#REF!,8,FALSE))</f>
        <v/>
      </c>
      <c r="P289" s="6" t="str">
        <f>IF(ISERROR(VLOOKUP($A289,'Plano de Contas'!#REF!,10,FALSE)),"",VLOOKUP($A289,'Plano de Contas'!#REF!,10,FALSE))</f>
        <v/>
      </c>
    </row>
    <row r="290" spans="1:16" x14ac:dyDescent="0.25">
      <c r="A290" t="s">
        <v>485</v>
      </c>
      <c r="B290">
        <v>940</v>
      </c>
      <c r="C290" t="s">
        <v>486</v>
      </c>
      <c r="D290" s="10">
        <v>55011.1</v>
      </c>
      <c r="F290">
        <v>0</v>
      </c>
      <c r="H290">
        <v>0</v>
      </c>
      <c r="J290" s="10">
        <v>55011.1</v>
      </c>
      <c r="L290" s="1">
        <f t="shared" si="4"/>
        <v>55011.1</v>
      </c>
      <c r="N290" s="6" t="str">
        <f>IF(ISERROR(VLOOKUP($A290,'Plano de Contas'!#REF!,8,FALSE)),"",VLOOKUP($A290,'Plano de Contas'!#REF!,8,FALSE))</f>
        <v/>
      </c>
      <c r="P290" s="6" t="str">
        <f>IF(ISERROR(VLOOKUP($A290,'Plano de Contas'!#REF!,10,FALSE)),"",VLOOKUP($A290,'Plano de Contas'!#REF!,10,FALSE))</f>
        <v/>
      </c>
    </row>
    <row r="291" spans="1:16" x14ac:dyDescent="0.25">
      <c r="A291" t="s">
        <v>1049</v>
      </c>
      <c r="B291">
        <v>942</v>
      </c>
      <c r="C291" t="s">
        <v>359</v>
      </c>
      <c r="D291" s="10">
        <v>13132115.98</v>
      </c>
      <c r="F291" s="10">
        <v>704930.06</v>
      </c>
      <c r="H291">
        <v>0</v>
      </c>
      <c r="J291" s="10">
        <v>13837046.039999999</v>
      </c>
      <c r="L291" s="1">
        <f t="shared" si="4"/>
        <v>13837046.039999999</v>
      </c>
      <c r="N291" s="6" t="str">
        <f>IF(ISERROR(VLOOKUP($A291,'Plano de Contas'!#REF!,8,FALSE)),"",VLOOKUP($A291,'Plano de Contas'!#REF!,8,FALSE))</f>
        <v/>
      </c>
      <c r="P291" s="6" t="str">
        <f>IF(ISERROR(VLOOKUP($A291,'Plano de Contas'!#REF!,10,FALSE)),"",VLOOKUP($A291,'Plano de Contas'!#REF!,10,FALSE))</f>
        <v/>
      </c>
    </row>
    <row r="292" spans="1:16" x14ac:dyDescent="0.25">
      <c r="A292" t="s">
        <v>487</v>
      </c>
      <c r="B292">
        <v>947</v>
      </c>
      <c r="C292" t="s">
        <v>488</v>
      </c>
      <c r="D292" s="10">
        <v>1342442.76</v>
      </c>
      <c r="F292">
        <v>0</v>
      </c>
      <c r="H292">
        <v>0</v>
      </c>
      <c r="J292" s="10">
        <v>1342442.76</v>
      </c>
      <c r="L292" s="1">
        <f t="shared" si="4"/>
        <v>1342442.76</v>
      </c>
      <c r="N292" s="6" t="str">
        <f>IF(ISERROR(VLOOKUP($A292,'Plano de Contas'!#REF!,8,FALSE)),"",VLOOKUP($A292,'Plano de Contas'!#REF!,8,FALSE))</f>
        <v/>
      </c>
      <c r="P292" s="6" t="str">
        <f>IF(ISERROR(VLOOKUP($A292,'Plano de Contas'!#REF!,10,FALSE)),"",VLOOKUP($A292,'Plano de Contas'!#REF!,10,FALSE))</f>
        <v/>
      </c>
    </row>
    <row r="293" spans="1:16" x14ac:dyDescent="0.25">
      <c r="L293" s="1">
        <f t="shared" si="4"/>
        <v>0</v>
      </c>
      <c r="N293" s="6" t="str">
        <f>IF(ISERROR(VLOOKUP($A293,'Plano de Contas'!#REF!,8,FALSE)),"",VLOOKUP($A293,'Plano de Contas'!#REF!,8,FALSE))</f>
        <v/>
      </c>
      <c r="P293" s="6" t="str">
        <f>IF(ISERROR(VLOOKUP($A293,'Plano de Contas'!#REF!,10,FALSE)),"",VLOOKUP($A293,'Plano de Contas'!#REF!,10,FALSE))</f>
        <v/>
      </c>
    </row>
    <row r="294" spans="1:16" x14ac:dyDescent="0.25">
      <c r="A294" t="s">
        <v>489</v>
      </c>
      <c r="B294">
        <v>876</v>
      </c>
      <c r="C294" t="s">
        <v>490</v>
      </c>
      <c r="D294" s="10">
        <v>1339230.1599999999</v>
      </c>
      <c r="E294" t="s">
        <v>35</v>
      </c>
      <c r="F294">
        <v>0</v>
      </c>
      <c r="H294" s="10">
        <v>29170.34</v>
      </c>
      <c r="I294" t="s">
        <v>35</v>
      </c>
      <c r="J294" s="10">
        <v>1368400.5</v>
      </c>
      <c r="K294" t="s">
        <v>35</v>
      </c>
      <c r="L294" s="1">
        <f t="shared" si="4"/>
        <v>-1368400.5</v>
      </c>
      <c r="N294" s="6" t="str">
        <f>IF(ISERROR(VLOOKUP($A294,'Plano de Contas'!#REF!,8,FALSE)),"",VLOOKUP($A294,'Plano de Contas'!#REF!,8,FALSE))</f>
        <v/>
      </c>
      <c r="P294" s="6" t="str">
        <f>IF(ISERROR(VLOOKUP($A294,'Plano de Contas'!#REF!,10,FALSE)),"",VLOOKUP($A294,'Plano de Contas'!#REF!,10,FALSE))</f>
        <v/>
      </c>
    </row>
    <row r="295" spans="1:16" x14ac:dyDescent="0.25">
      <c r="A295" t="s">
        <v>491</v>
      </c>
      <c r="B295">
        <v>889</v>
      </c>
      <c r="C295" t="s">
        <v>492</v>
      </c>
      <c r="D295" s="10">
        <v>-673351.6</v>
      </c>
      <c r="F295">
        <v>0</v>
      </c>
      <c r="H295" s="10">
        <v>14897.16</v>
      </c>
      <c r="J295" s="10">
        <v>688248.76</v>
      </c>
      <c r="K295" t="s">
        <v>35</v>
      </c>
      <c r="L295" s="1">
        <f t="shared" si="4"/>
        <v>-688248.76</v>
      </c>
      <c r="N295" s="6" t="str">
        <f>IF(ISERROR(VLOOKUP($A295,'Plano de Contas'!#REF!,8,FALSE)),"",VLOOKUP($A295,'Plano de Contas'!#REF!,8,FALSE))</f>
        <v/>
      </c>
      <c r="P295" s="6" t="str">
        <f>IF(ISERROR(VLOOKUP($A295,'Plano de Contas'!#REF!,10,FALSE)),"",VLOOKUP($A295,'Plano de Contas'!#REF!,10,FALSE))</f>
        <v/>
      </c>
    </row>
    <row r="296" spans="1:16" x14ac:dyDescent="0.25">
      <c r="A296" t="s">
        <v>493</v>
      </c>
      <c r="B296">
        <v>890</v>
      </c>
      <c r="C296" t="s">
        <v>494</v>
      </c>
      <c r="D296" s="10">
        <v>621739.36</v>
      </c>
      <c r="E296" t="s">
        <v>35</v>
      </c>
      <c r="F296">
        <v>0</v>
      </c>
      <c r="H296" s="10">
        <v>14273.18</v>
      </c>
      <c r="I296" t="s">
        <v>35</v>
      </c>
      <c r="J296" s="10">
        <v>636012.54</v>
      </c>
      <c r="K296" t="s">
        <v>35</v>
      </c>
      <c r="L296" s="1">
        <f t="shared" si="4"/>
        <v>-636012.54</v>
      </c>
      <c r="N296" s="6" t="str">
        <f>IF(ISERROR(VLOOKUP($A296,'Plano de Contas'!#REF!,8,FALSE)),"",VLOOKUP($A296,'Plano de Contas'!#REF!,8,FALSE))</f>
        <v/>
      </c>
      <c r="P296" s="6" t="str">
        <f>IF(ISERROR(VLOOKUP($A296,'Plano de Contas'!#REF!,10,FALSE)),"",VLOOKUP($A296,'Plano de Contas'!#REF!,10,FALSE))</f>
        <v/>
      </c>
    </row>
    <row r="297" spans="1:16" x14ac:dyDescent="0.25">
      <c r="A297" t="s">
        <v>495</v>
      </c>
      <c r="B297">
        <v>891</v>
      </c>
      <c r="C297" t="s">
        <v>496</v>
      </c>
      <c r="D297">
        <v>-17.12</v>
      </c>
      <c r="F297">
        <v>0</v>
      </c>
      <c r="H297">
        <v>0</v>
      </c>
      <c r="J297">
        <v>17.12</v>
      </c>
      <c r="K297" t="s">
        <v>35</v>
      </c>
      <c r="L297" s="1">
        <f t="shared" si="4"/>
        <v>-17.12</v>
      </c>
      <c r="N297" s="6" t="str">
        <f>IF(ISERROR(VLOOKUP($A297,'Plano de Contas'!#REF!,8,FALSE)),"",VLOOKUP($A297,'Plano de Contas'!#REF!,8,FALSE))</f>
        <v/>
      </c>
      <c r="P297" s="6" t="str">
        <f>IF(ISERROR(VLOOKUP($A297,'Plano de Contas'!#REF!,10,FALSE)),"",VLOOKUP($A297,'Plano de Contas'!#REF!,10,FALSE))</f>
        <v/>
      </c>
    </row>
    <row r="298" spans="1:16" x14ac:dyDescent="0.25">
      <c r="A298" t="s">
        <v>497</v>
      </c>
      <c r="B298">
        <v>892</v>
      </c>
      <c r="C298" t="s">
        <v>498</v>
      </c>
      <c r="D298" s="10">
        <v>-1356.32</v>
      </c>
      <c r="F298">
        <v>0</v>
      </c>
      <c r="H298">
        <v>0</v>
      </c>
      <c r="J298" s="10">
        <v>1356.32</v>
      </c>
      <c r="K298" t="s">
        <v>35</v>
      </c>
      <c r="L298" s="1">
        <f t="shared" si="4"/>
        <v>-1356.32</v>
      </c>
      <c r="N298" s="6" t="str">
        <f>IF(ISERROR(VLOOKUP($A298,'Plano de Contas'!#REF!,8,FALSE)),"",VLOOKUP($A298,'Plano de Contas'!#REF!,8,FALSE))</f>
        <v/>
      </c>
      <c r="P298" s="6" t="str">
        <f>IF(ISERROR(VLOOKUP($A298,'Plano de Contas'!#REF!,10,FALSE)),"",VLOOKUP($A298,'Plano de Contas'!#REF!,10,FALSE))</f>
        <v/>
      </c>
    </row>
    <row r="299" spans="1:16" x14ac:dyDescent="0.25">
      <c r="A299" t="s">
        <v>499</v>
      </c>
      <c r="B299">
        <v>893</v>
      </c>
      <c r="C299" t="s">
        <v>500</v>
      </c>
      <c r="D299" s="10">
        <v>7957.6</v>
      </c>
      <c r="E299" t="s">
        <v>35</v>
      </c>
      <c r="F299">
        <v>0</v>
      </c>
      <c r="H299">
        <v>0</v>
      </c>
      <c r="J299" s="10">
        <v>7957.6</v>
      </c>
      <c r="K299" t="s">
        <v>35</v>
      </c>
      <c r="L299" s="1">
        <f t="shared" si="4"/>
        <v>-7957.6</v>
      </c>
      <c r="N299" s="6" t="str">
        <f>IF(ISERROR(VLOOKUP($A299,'Plano de Contas'!#REF!,8,FALSE)),"",VLOOKUP($A299,'Plano de Contas'!#REF!,8,FALSE))</f>
        <v/>
      </c>
      <c r="P299" s="6" t="str">
        <f>IF(ISERROR(VLOOKUP($A299,'Plano de Contas'!#REF!,10,FALSE)),"",VLOOKUP($A299,'Plano de Contas'!#REF!,10,FALSE))</f>
        <v/>
      </c>
    </row>
    <row r="300" spans="1:16" x14ac:dyDescent="0.25">
      <c r="A300" t="s">
        <v>501</v>
      </c>
      <c r="B300">
        <v>894</v>
      </c>
      <c r="C300" t="s">
        <v>502</v>
      </c>
      <c r="D300" s="10">
        <v>18666.72</v>
      </c>
      <c r="E300" t="s">
        <v>35</v>
      </c>
      <c r="F300">
        <v>0</v>
      </c>
      <c r="H300">
        <v>0</v>
      </c>
      <c r="J300" s="10">
        <v>18666.72</v>
      </c>
      <c r="K300" t="s">
        <v>35</v>
      </c>
      <c r="L300" s="1">
        <f t="shared" si="4"/>
        <v>-18666.72</v>
      </c>
      <c r="N300" s="6" t="str">
        <f>IF(ISERROR(VLOOKUP($A300,'Plano de Contas'!#REF!,8,FALSE)),"",VLOOKUP($A300,'Plano de Contas'!#REF!,8,FALSE))</f>
        <v/>
      </c>
      <c r="P300" s="6" t="str">
        <f>IF(ISERROR(VLOOKUP($A300,'Plano de Contas'!#REF!,10,FALSE)),"",VLOOKUP($A300,'Plano de Contas'!#REF!,10,FALSE))</f>
        <v/>
      </c>
    </row>
    <row r="301" spans="1:16" x14ac:dyDescent="0.25">
      <c r="A301" t="s">
        <v>503</v>
      </c>
      <c r="B301">
        <v>895</v>
      </c>
      <c r="C301" t="s">
        <v>504</v>
      </c>
      <c r="D301">
        <v>255.68</v>
      </c>
      <c r="E301" t="s">
        <v>35</v>
      </c>
      <c r="F301">
        <v>0</v>
      </c>
      <c r="H301">
        <v>0</v>
      </c>
      <c r="J301">
        <v>255.68</v>
      </c>
      <c r="K301" t="s">
        <v>35</v>
      </c>
      <c r="L301" s="1">
        <f t="shared" si="4"/>
        <v>-255.68</v>
      </c>
      <c r="N301" s="6" t="str">
        <f>IF(ISERROR(VLOOKUP($A301,'Plano de Contas'!#REF!,8,FALSE)),"",VLOOKUP($A301,'Plano de Contas'!#REF!,8,FALSE))</f>
        <v/>
      </c>
      <c r="P301" s="6" t="str">
        <f>IF(ISERROR(VLOOKUP($A301,'Plano de Contas'!#REF!,10,FALSE)),"",VLOOKUP($A301,'Plano de Contas'!#REF!,10,FALSE))</f>
        <v/>
      </c>
    </row>
    <row r="302" spans="1:16" x14ac:dyDescent="0.25">
      <c r="A302" t="s">
        <v>505</v>
      </c>
      <c r="B302">
        <v>899</v>
      </c>
      <c r="C302" t="s">
        <v>506</v>
      </c>
      <c r="D302" s="10">
        <v>15885.76</v>
      </c>
      <c r="E302" t="s">
        <v>35</v>
      </c>
      <c r="F302">
        <v>0</v>
      </c>
      <c r="H302">
        <v>0</v>
      </c>
      <c r="J302" s="10">
        <v>15885.76</v>
      </c>
      <c r="K302" t="s">
        <v>35</v>
      </c>
      <c r="L302" s="1">
        <f t="shared" si="4"/>
        <v>-15885.76</v>
      </c>
      <c r="N302" s="6" t="str">
        <f>IF(ISERROR(VLOOKUP($A302,'Plano de Contas'!#REF!,8,FALSE)),"",VLOOKUP($A302,'Plano de Contas'!#REF!,8,FALSE))</f>
        <v/>
      </c>
      <c r="P302" s="6" t="str">
        <f>IF(ISERROR(VLOOKUP($A302,'Plano de Contas'!#REF!,10,FALSE)),"",VLOOKUP($A302,'Plano de Contas'!#REF!,10,FALSE))</f>
        <v/>
      </c>
    </row>
    <row r="303" spans="1:16" x14ac:dyDescent="0.25">
      <c r="L303" s="1">
        <f t="shared" si="4"/>
        <v>0</v>
      </c>
      <c r="N303" s="6" t="str">
        <f>IF(ISERROR(VLOOKUP($A303,'Plano de Contas'!#REF!,8,FALSE)),"",VLOOKUP($A303,'Plano de Contas'!#REF!,8,FALSE))</f>
        <v/>
      </c>
      <c r="P303" s="6" t="str">
        <f>IF(ISERROR(VLOOKUP($A303,'Plano de Contas'!#REF!,10,FALSE)),"",VLOOKUP($A303,'Plano de Contas'!#REF!,10,FALSE))</f>
        <v/>
      </c>
    </row>
    <row r="304" spans="1:16" x14ac:dyDescent="0.25">
      <c r="A304" t="s">
        <v>507</v>
      </c>
      <c r="B304">
        <v>904</v>
      </c>
      <c r="C304" t="s">
        <v>369</v>
      </c>
      <c r="D304" s="10">
        <v>1872.43</v>
      </c>
      <c r="F304">
        <v>0</v>
      </c>
      <c r="H304">
        <v>0</v>
      </c>
      <c r="J304" s="10">
        <v>1872.43</v>
      </c>
      <c r="L304" s="1">
        <f t="shared" si="4"/>
        <v>1872.43</v>
      </c>
      <c r="N304" s="6" t="str">
        <f>IF(ISERROR(VLOOKUP($A304,'Plano de Contas'!#REF!,8,FALSE)),"",VLOOKUP($A304,'Plano de Contas'!#REF!,8,FALSE))</f>
        <v/>
      </c>
      <c r="P304" s="6" t="str">
        <f>IF(ISERROR(VLOOKUP($A304,'Plano de Contas'!#REF!,10,FALSE)),"",VLOOKUP($A304,'Plano de Contas'!#REF!,10,FALSE))</f>
        <v/>
      </c>
    </row>
    <row r="305" spans="1:16" x14ac:dyDescent="0.25">
      <c r="A305" t="s">
        <v>508</v>
      </c>
      <c r="B305">
        <v>905</v>
      </c>
      <c r="C305" t="s">
        <v>509</v>
      </c>
      <c r="D305" s="10">
        <v>1872.43</v>
      </c>
      <c r="F305">
        <v>0</v>
      </c>
      <c r="H305">
        <v>0</v>
      </c>
      <c r="J305" s="10">
        <v>1872.43</v>
      </c>
      <c r="L305" s="1">
        <f t="shared" si="4"/>
        <v>1872.43</v>
      </c>
      <c r="N305" s="6" t="str">
        <f>IF(ISERROR(VLOOKUP($A305,'Plano de Contas'!#REF!,8,FALSE)),"",VLOOKUP($A305,'Plano de Contas'!#REF!,8,FALSE))</f>
        <v/>
      </c>
      <c r="P305" s="6" t="str">
        <f>IF(ISERROR(VLOOKUP($A305,'Plano de Contas'!#REF!,10,FALSE)),"",VLOOKUP($A305,'Plano de Contas'!#REF!,10,FALSE))</f>
        <v/>
      </c>
    </row>
    <row r="306" spans="1:16" x14ac:dyDescent="0.25">
      <c r="L306" s="1">
        <f t="shared" si="4"/>
        <v>0</v>
      </c>
      <c r="N306" s="6" t="str">
        <f>IF(ISERROR(VLOOKUP($A306,'Plano de Contas'!#REF!,8,FALSE)),"",VLOOKUP($A306,'Plano de Contas'!#REF!,8,FALSE))</f>
        <v/>
      </c>
      <c r="P306" s="6" t="str">
        <f>IF(ISERROR(VLOOKUP($A306,'Plano de Contas'!#REF!,10,FALSE)),"",VLOOKUP($A306,'Plano de Contas'!#REF!,10,FALSE))</f>
        <v/>
      </c>
    </row>
    <row r="307" spans="1:16" x14ac:dyDescent="0.25">
      <c r="A307">
        <v>2</v>
      </c>
      <c r="B307">
        <v>118</v>
      </c>
      <c r="C307" t="s">
        <v>510</v>
      </c>
      <c r="D307" s="10">
        <v>3026131179.3099999</v>
      </c>
      <c r="E307" t="s">
        <v>35</v>
      </c>
      <c r="F307" s="10">
        <v>79786057.909999996</v>
      </c>
      <c r="H307" s="10">
        <v>2257353505.5100002</v>
      </c>
      <c r="I307" t="s">
        <v>35</v>
      </c>
      <c r="J307" s="10">
        <v>5203698626.9099998</v>
      </c>
      <c r="K307" t="s">
        <v>35</v>
      </c>
      <c r="L307" s="1">
        <f t="shared" si="4"/>
        <v>-5203698626.9099998</v>
      </c>
      <c r="N307" s="6" t="str">
        <f>IF(ISERROR(VLOOKUP($A307,'Plano de Contas'!#REF!,8,FALSE)),"",VLOOKUP($A307,'Plano de Contas'!#REF!,8,FALSE))</f>
        <v/>
      </c>
      <c r="P307" s="6" t="str">
        <f>IF(ISERROR(VLOOKUP($A307,'Plano de Contas'!#REF!,10,FALSE)),"",VLOOKUP($A307,'Plano de Contas'!#REF!,10,FALSE))</f>
        <v/>
      </c>
    </row>
    <row r="308" spans="1:16" x14ac:dyDescent="0.25">
      <c r="L308" s="1">
        <f t="shared" si="4"/>
        <v>0</v>
      </c>
      <c r="N308" s="6" t="str">
        <f>IF(ISERROR(VLOOKUP($A308,'Plano de Contas'!#REF!,8,FALSE)),"",VLOOKUP($A308,'Plano de Contas'!#REF!,8,FALSE))</f>
        <v/>
      </c>
      <c r="P308" s="6" t="str">
        <f>IF(ISERROR(VLOOKUP($A308,'Plano de Contas'!#REF!,10,FALSE)),"",VLOOKUP($A308,'Plano de Contas'!#REF!,10,FALSE))</f>
        <v/>
      </c>
    </row>
    <row r="309" spans="1:16" x14ac:dyDescent="0.25">
      <c r="A309" t="s">
        <v>511</v>
      </c>
      <c r="B309">
        <v>119</v>
      </c>
      <c r="C309" t="s">
        <v>512</v>
      </c>
      <c r="D309" s="10">
        <v>147313027.41</v>
      </c>
      <c r="E309" t="s">
        <v>35</v>
      </c>
      <c r="F309" s="10">
        <v>37740386.579999998</v>
      </c>
      <c r="H309" s="10">
        <v>31988849.219999999</v>
      </c>
      <c r="I309" t="s">
        <v>35</v>
      </c>
      <c r="J309" s="10">
        <v>141561490.05000001</v>
      </c>
      <c r="K309" t="s">
        <v>35</v>
      </c>
      <c r="L309" s="1">
        <f t="shared" si="4"/>
        <v>-141561490.05000001</v>
      </c>
      <c r="N309" s="6" t="str">
        <f>IF(ISERROR(VLOOKUP($A309,'Plano de Contas'!#REF!,8,FALSE)),"",VLOOKUP($A309,'Plano de Contas'!#REF!,8,FALSE))</f>
        <v/>
      </c>
      <c r="P309" s="6" t="str">
        <f>IF(ISERROR(VLOOKUP($A309,'Plano de Contas'!#REF!,10,FALSE)),"",VLOOKUP($A309,'Plano de Contas'!#REF!,10,FALSE))</f>
        <v/>
      </c>
    </row>
    <row r="310" spans="1:16" x14ac:dyDescent="0.25">
      <c r="L310" s="1">
        <f t="shared" si="4"/>
        <v>0</v>
      </c>
      <c r="N310" s="6" t="str">
        <f>IF(ISERROR(VLOOKUP($A310,'Plano de Contas'!#REF!,8,FALSE)),"",VLOOKUP($A310,'Plano de Contas'!#REF!,8,FALSE))</f>
        <v/>
      </c>
      <c r="P310" s="6" t="str">
        <f>IF(ISERROR(VLOOKUP($A310,'Plano de Contas'!#REF!,10,FALSE)),"",VLOOKUP($A310,'Plano de Contas'!#REF!,10,FALSE))</f>
        <v/>
      </c>
    </row>
    <row r="311" spans="1:16" x14ac:dyDescent="0.25">
      <c r="A311" t="s">
        <v>513</v>
      </c>
      <c r="B311">
        <v>120</v>
      </c>
      <c r="C311" t="s">
        <v>514</v>
      </c>
      <c r="D311" s="10">
        <v>147313027.41</v>
      </c>
      <c r="E311" t="s">
        <v>35</v>
      </c>
      <c r="F311" s="10">
        <v>37740386.579999998</v>
      </c>
      <c r="H311" s="10">
        <v>31988849.219999999</v>
      </c>
      <c r="I311" t="s">
        <v>35</v>
      </c>
      <c r="J311" s="10">
        <v>141561490.05000001</v>
      </c>
      <c r="K311" t="s">
        <v>35</v>
      </c>
      <c r="L311" s="1">
        <f t="shared" si="4"/>
        <v>-141561490.05000001</v>
      </c>
      <c r="N311" s="6" t="str">
        <f>IF(ISERROR(VLOOKUP($A311,'Plano de Contas'!#REF!,8,FALSE)),"",VLOOKUP($A311,'Plano de Contas'!#REF!,8,FALSE))</f>
        <v/>
      </c>
      <c r="P311" s="6" t="str">
        <f>IF(ISERROR(VLOOKUP($A311,'Plano de Contas'!#REF!,10,FALSE)),"",VLOOKUP($A311,'Plano de Contas'!#REF!,10,FALSE))</f>
        <v/>
      </c>
    </row>
    <row r="312" spans="1:16" x14ac:dyDescent="0.25">
      <c r="L312" s="1">
        <f t="shared" si="4"/>
        <v>0</v>
      </c>
      <c r="N312" s="6" t="str">
        <f>IF(ISERROR(VLOOKUP($A312,'Plano de Contas'!#REF!,8,FALSE)),"",VLOOKUP($A312,'Plano de Contas'!#REF!,8,FALSE))</f>
        <v/>
      </c>
      <c r="P312" s="6" t="str">
        <f>IF(ISERROR(VLOOKUP($A312,'Plano de Contas'!#REF!,10,FALSE)),"",VLOOKUP($A312,'Plano de Contas'!#REF!,10,FALSE))</f>
        <v/>
      </c>
    </row>
    <row r="313" spans="1:16" x14ac:dyDescent="0.25">
      <c r="A313" t="s">
        <v>515</v>
      </c>
      <c r="B313">
        <v>121</v>
      </c>
      <c r="C313" t="s">
        <v>516</v>
      </c>
      <c r="D313" s="10">
        <v>115063219.47</v>
      </c>
      <c r="E313" t="s">
        <v>35</v>
      </c>
      <c r="F313" s="10">
        <v>28510726.379999999</v>
      </c>
      <c r="H313" s="10">
        <v>23343140.710000001</v>
      </c>
      <c r="I313" t="s">
        <v>35</v>
      </c>
      <c r="J313" s="10">
        <v>109895633.8</v>
      </c>
      <c r="K313" t="s">
        <v>35</v>
      </c>
      <c r="L313" s="1">
        <f t="shared" si="4"/>
        <v>-109895633.8</v>
      </c>
      <c r="N313" s="6" t="str">
        <f>IF(ISERROR(VLOOKUP($A313,'Plano de Contas'!#REF!,8,FALSE)),"",VLOOKUP($A313,'Plano de Contas'!#REF!,8,FALSE))</f>
        <v/>
      </c>
      <c r="P313" s="6" t="str">
        <f>IF(ISERROR(VLOOKUP($A313,'Plano de Contas'!#REF!,10,FALSE)),"",VLOOKUP($A313,'Plano de Contas'!#REF!,10,FALSE))</f>
        <v/>
      </c>
    </row>
    <row r="314" spans="1:16" x14ac:dyDescent="0.25">
      <c r="A314" t="s">
        <v>517</v>
      </c>
      <c r="B314">
        <v>122</v>
      </c>
      <c r="C314" t="s">
        <v>518</v>
      </c>
      <c r="D314" s="10">
        <v>12720.69</v>
      </c>
      <c r="E314" t="s">
        <v>35</v>
      </c>
      <c r="F314" s="10">
        <v>12289.08</v>
      </c>
      <c r="H314" s="10">
        <v>14295.52</v>
      </c>
      <c r="I314" t="s">
        <v>35</v>
      </c>
      <c r="J314" s="10">
        <v>14727.13</v>
      </c>
      <c r="K314" t="s">
        <v>35</v>
      </c>
      <c r="L314" s="1">
        <f t="shared" si="4"/>
        <v>-14727.13</v>
      </c>
      <c r="N314" s="6" t="str">
        <f>IF(ISERROR(VLOOKUP($A314,'Plano de Contas'!#REF!,8,FALSE)),"",VLOOKUP($A314,'Plano de Contas'!#REF!,8,FALSE))</f>
        <v/>
      </c>
      <c r="P314" s="6" t="str">
        <f>IF(ISERROR(VLOOKUP($A314,'Plano de Contas'!#REF!,10,FALSE)),"",VLOOKUP($A314,'Plano de Contas'!#REF!,10,FALSE))</f>
        <v/>
      </c>
    </row>
    <row r="315" spans="1:16" x14ac:dyDescent="0.25">
      <c r="A315" t="s">
        <v>519</v>
      </c>
      <c r="B315">
        <v>123</v>
      </c>
      <c r="C315" t="s">
        <v>520</v>
      </c>
      <c r="D315" s="10">
        <v>-1008</v>
      </c>
      <c r="F315">
        <v>0</v>
      </c>
      <c r="H315">
        <v>0</v>
      </c>
      <c r="J315" s="10">
        <v>1008</v>
      </c>
      <c r="K315" t="s">
        <v>35</v>
      </c>
      <c r="L315" s="1">
        <f t="shared" si="4"/>
        <v>-1008</v>
      </c>
      <c r="N315" s="6" t="str">
        <f>IF(ISERROR(VLOOKUP($A315,'Plano de Contas'!#REF!,8,FALSE)),"",VLOOKUP($A315,'Plano de Contas'!#REF!,8,FALSE))</f>
        <v/>
      </c>
      <c r="P315" s="6" t="str">
        <f>IF(ISERROR(VLOOKUP($A315,'Plano de Contas'!#REF!,10,FALSE)),"",VLOOKUP($A315,'Plano de Contas'!#REF!,10,FALSE))</f>
        <v/>
      </c>
    </row>
    <row r="316" spans="1:16" x14ac:dyDescent="0.25">
      <c r="A316" t="s">
        <v>521</v>
      </c>
      <c r="B316">
        <v>124</v>
      </c>
      <c r="C316" t="s">
        <v>522</v>
      </c>
      <c r="D316" s="10">
        <v>-115041730.58</v>
      </c>
      <c r="F316" s="10">
        <v>28498437.300000001</v>
      </c>
      <c r="H316" s="10">
        <v>23328845.190000001</v>
      </c>
      <c r="J316" s="10">
        <v>109872138.47</v>
      </c>
      <c r="K316" t="s">
        <v>35</v>
      </c>
      <c r="L316" s="1">
        <f t="shared" si="4"/>
        <v>-109872138.47</v>
      </c>
      <c r="N316" s="6" t="str">
        <f>IF(ISERROR(VLOOKUP($A316,'Plano de Contas'!#REF!,8,FALSE)),"",VLOOKUP($A316,'Plano de Contas'!#REF!,8,FALSE))</f>
        <v/>
      </c>
      <c r="P316" s="6" t="str">
        <f>IF(ISERROR(VLOOKUP($A316,'Plano de Contas'!#REF!,10,FALSE)),"",VLOOKUP($A316,'Plano de Contas'!#REF!,10,FALSE))</f>
        <v/>
      </c>
    </row>
    <row r="317" spans="1:16" x14ac:dyDescent="0.25">
      <c r="A317" t="s">
        <v>523</v>
      </c>
      <c r="B317">
        <v>429</v>
      </c>
      <c r="C317" t="s">
        <v>524</v>
      </c>
      <c r="D317" s="10">
        <v>-7760.2</v>
      </c>
      <c r="F317">
        <v>0</v>
      </c>
      <c r="H317">
        <v>0</v>
      </c>
      <c r="J317" s="10">
        <v>7760.2</v>
      </c>
      <c r="K317" t="s">
        <v>35</v>
      </c>
      <c r="L317" s="1">
        <f t="shared" si="4"/>
        <v>-7760.2</v>
      </c>
      <c r="N317" s="6" t="str">
        <f>IF(ISERROR(VLOOKUP($A317,'Plano de Contas'!#REF!,8,FALSE)),"",VLOOKUP($A317,'Plano de Contas'!#REF!,8,FALSE))</f>
        <v/>
      </c>
      <c r="P317" s="6" t="str">
        <f>IF(ISERROR(VLOOKUP($A317,'Plano de Contas'!#REF!,10,FALSE)),"",VLOOKUP($A317,'Plano de Contas'!#REF!,10,FALSE))</f>
        <v/>
      </c>
    </row>
    <row r="318" spans="1:16" x14ac:dyDescent="0.25">
      <c r="L318" s="1">
        <f t="shared" si="4"/>
        <v>0</v>
      </c>
      <c r="N318" s="6" t="str">
        <f>IF(ISERROR(VLOOKUP($A318,'Plano de Contas'!#REF!,8,FALSE)),"",VLOOKUP($A318,'Plano de Contas'!#REF!,8,FALSE))</f>
        <v/>
      </c>
      <c r="P318" s="6" t="str">
        <f>IF(ISERROR(VLOOKUP($A318,'Plano de Contas'!#REF!,10,FALSE)),"",VLOOKUP($A318,'Plano de Contas'!#REF!,10,FALSE))</f>
        <v/>
      </c>
    </row>
    <row r="319" spans="1:16" x14ac:dyDescent="0.25">
      <c r="A319" t="s">
        <v>525</v>
      </c>
      <c r="B319">
        <v>125</v>
      </c>
      <c r="C319" t="s">
        <v>526</v>
      </c>
      <c r="D319" s="10">
        <v>31396.76</v>
      </c>
      <c r="E319" t="s">
        <v>35</v>
      </c>
      <c r="F319" s="10">
        <v>2069437.46</v>
      </c>
      <c r="H319" s="10">
        <v>2055876.74</v>
      </c>
      <c r="I319" t="s">
        <v>35</v>
      </c>
      <c r="J319" s="10">
        <v>17836.04</v>
      </c>
      <c r="K319" t="s">
        <v>35</v>
      </c>
      <c r="L319" s="1">
        <f t="shared" si="4"/>
        <v>-17836.04</v>
      </c>
      <c r="N319" s="6" t="str">
        <f>IF(ISERROR(VLOOKUP($A319,'Plano de Contas'!#REF!,8,FALSE)),"",VLOOKUP($A319,'Plano de Contas'!#REF!,8,FALSE))</f>
        <v/>
      </c>
      <c r="P319" s="6" t="str">
        <f>IF(ISERROR(VLOOKUP($A319,'Plano de Contas'!#REF!,10,FALSE)),"",VLOOKUP($A319,'Plano de Contas'!#REF!,10,FALSE))</f>
        <v/>
      </c>
    </row>
    <row r="320" spans="1:16" x14ac:dyDescent="0.25">
      <c r="A320" t="s">
        <v>527</v>
      </c>
      <c r="B320">
        <v>126</v>
      </c>
      <c r="C320" t="s">
        <v>528</v>
      </c>
      <c r="D320">
        <v>0</v>
      </c>
      <c r="F320" s="10">
        <v>1293610.02</v>
      </c>
      <c r="H320" s="10">
        <v>1293610.02</v>
      </c>
      <c r="J320">
        <v>0</v>
      </c>
      <c r="L320" s="1">
        <f t="shared" si="4"/>
        <v>0</v>
      </c>
      <c r="N320" s="6" t="str">
        <f>IF(ISERROR(VLOOKUP($A320,'Plano de Contas'!#REF!,8,FALSE)),"",VLOOKUP($A320,'Plano de Contas'!#REF!,8,FALSE))</f>
        <v/>
      </c>
      <c r="P320" s="6" t="str">
        <f>IF(ISERROR(VLOOKUP($A320,'Plano de Contas'!#REF!,10,FALSE)),"",VLOOKUP($A320,'Plano de Contas'!#REF!,10,FALSE))</f>
        <v/>
      </c>
    </row>
    <row r="321" spans="1:16" x14ac:dyDescent="0.25">
      <c r="A321" t="s">
        <v>529</v>
      </c>
      <c r="B321">
        <v>128</v>
      </c>
      <c r="C321" t="s">
        <v>530</v>
      </c>
      <c r="D321">
        <v>0.14000000000000001</v>
      </c>
      <c r="E321" t="s">
        <v>35</v>
      </c>
      <c r="F321" s="10">
        <v>677791.69</v>
      </c>
      <c r="H321" s="10">
        <v>677791.55</v>
      </c>
      <c r="I321" t="s">
        <v>35</v>
      </c>
      <c r="J321">
        <v>0</v>
      </c>
      <c r="L321" s="1">
        <f t="shared" si="4"/>
        <v>0</v>
      </c>
      <c r="N321" s="6" t="str">
        <f>IF(ISERROR(VLOOKUP($A321,'Plano de Contas'!#REF!,8,FALSE)),"",VLOOKUP($A321,'Plano de Contas'!#REF!,8,FALSE))</f>
        <v/>
      </c>
      <c r="P321" s="6" t="str">
        <f>IF(ISERROR(VLOOKUP($A321,'Plano de Contas'!#REF!,10,FALSE)),"",VLOOKUP($A321,'Plano de Contas'!#REF!,10,FALSE))</f>
        <v/>
      </c>
    </row>
    <row r="322" spans="1:16" x14ac:dyDescent="0.25">
      <c r="A322" t="s">
        <v>531</v>
      </c>
      <c r="B322">
        <v>129</v>
      </c>
      <c r="C322" t="s">
        <v>532</v>
      </c>
      <c r="D322" s="10">
        <v>8356.74</v>
      </c>
      <c r="E322" t="s">
        <v>35</v>
      </c>
      <c r="F322" s="10">
        <v>14422.79</v>
      </c>
      <c r="H322" s="10">
        <v>23240.82</v>
      </c>
      <c r="I322" t="s">
        <v>35</v>
      </c>
      <c r="J322" s="10">
        <v>17174.77</v>
      </c>
      <c r="K322" t="s">
        <v>35</v>
      </c>
      <c r="L322" s="1">
        <f t="shared" si="4"/>
        <v>-17174.77</v>
      </c>
      <c r="N322" s="6" t="str">
        <f>IF(ISERROR(VLOOKUP($A322,'Plano de Contas'!#REF!,8,FALSE)),"",VLOOKUP($A322,'Plano de Contas'!#REF!,8,FALSE))</f>
        <v/>
      </c>
      <c r="P322" s="6" t="str">
        <f>IF(ISERROR(VLOOKUP($A322,'Plano de Contas'!#REF!,10,FALSE)),"",VLOOKUP($A322,'Plano de Contas'!#REF!,10,FALSE))</f>
        <v/>
      </c>
    </row>
    <row r="323" spans="1:16" x14ac:dyDescent="0.25">
      <c r="A323" t="s">
        <v>533</v>
      </c>
      <c r="B323">
        <v>130</v>
      </c>
      <c r="C323" t="s">
        <v>534</v>
      </c>
      <c r="D323">
        <v>-350.72</v>
      </c>
      <c r="F323" s="10">
        <v>38303.660000000003</v>
      </c>
      <c r="H323" s="10">
        <v>38293.47</v>
      </c>
      <c r="J323">
        <v>340.53</v>
      </c>
      <c r="K323" t="s">
        <v>35</v>
      </c>
      <c r="L323" s="1">
        <f t="shared" si="4"/>
        <v>-340.53</v>
      </c>
      <c r="N323" s="6" t="str">
        <f>IF(ISERROR(VLOOKUP($A323,'Plano de Contas'!#REF!,8,FALSE)),"",VLOOKUP($A323,'Plano de Contas'!#REF!,8,FALSE))</f>
        <v/>
      </c>
      <c r="P323" s="6" t="str">
        <f>IF(ISERROR(VLOOKUP($A323,'Plano de Contas'!#REF!,10,FALSE)),"",VLOOKUP($A323,'Plano de Contas'!#REF!,10,FALSE))</f>
        <v/>
      </c>
    </row>
    <row r="324" spans="1:16" x14ac:dyDescent="0.25">
      <c r="A324" t="s">
        <v>535</v>
      </c>
      <c r="B324">
        <v>132</v>
      </c>
      <c r="C324" t="s">
        <v>536</v>
      </c>
      <c r="D324" s="10">
        <v>-22689.16</v>
      </c>
      <c r="F324" s="10">
        <v>45309.3</v>
      </c>
      <c r="H324" s="10">
        <v>22940.880000000001</v>
      </c>
      <c r="J324">
        <v>320.74</v>
      </c>
      <c r="K324" t="s">
        <v>35</v>
      </c>
      <c r="L324" s="1">
        <f t="shared" si="4"/>
        <v>-320.74</v>
      </c>
      <c r="N324" s="6" t="str">
        <f>IF(ISERROR(VLOOKUP($A324,'Plano de Contas'!#REF!,8,FALSE)),"",VLOOKUP($A324,'Plano de Contas'!#REF!,8,FALSE))</f>
        <v/>
      </c>
      <c r="P324" s="6" t="str">
        <f>IF(ISERROR(VLOOKUP($A324,'Plano de Contas'!#REF!,10,FALSE)),"",VLOOKUP($A324,'Plano de Contas'!#REF!,10,FALSE))</f>
        <v/>
      </c>
    </row>
    <row r="325" spans="1:16" x14ac:dyDescent="0.25">
      <c r="L325" s="1">
        <f t="shared" si="4"/>
        <v>0</v>
      </c>
      <c r="N325" s="6" t="str">
        <f>IF(ISERROR(VLOOKUP($A325,'Plano de Contas'!#REF!,8,FALSE)),"",VLOOKUP($A325,'Plano de Contas'!#REF!,8,FALSE))</f>
        <v/>
      </c>
      <c r="P325" s="6" t="str">
        <f>IF(ISERROR(VLOOKUP($A325,'Plano de Contas'!#REF!,10,FALSE)),"",VLOOKUP($A325,'Plano de Contas'!#REF!,10,FALSE))</f>
        <v/>
      </c>
    </row>
    <row r="326" spans="1:16" x14ac:dyDescent="0.25">
      <c r="A326" t="s">
        <v>537</v>
      </c>
      <c r="B326">
        <v>133</v>
      </c>
      <c r="C326" t="s">
        <v>538</v>
      </c>
      <c r="D326" s="10">
        <v>1206068.3500000001</v>
      </c>
      <c r="E326" t="s">
        <v>35</v>
      </c>
      <c r="F326" s="10">
        <v>1865037.83</v>
      </c>
      <c r="H326" s="10">
        <v>2058035.73</v>
      </c>
      <c r="I326" t="s">
        <v>35</v>
      </c>
      <c r="J326" s="10">
        <v>1399066.25</v>
      </c>
      <c r="K326" t="s">
        <v>35</v>
      </c>
      <c r="L326" s="1">
        <f t="shared" si="4"/>
        <v>-1399066.25</v>
      </c>
      <c r="N326" s="6" t="str">
        <f>IF(ISERROR(VLOOKUP($A326,'Plano de Contas'!#REF!,8,FALSE)),"",VLOOKUP($A326,'Plano de Contas'!#REF!,8,FALSE))</f>
        <v/>
      </c>
      <c r="P326" s="6" t="str">
        <f>IF(ISERROR(VLOOKUP($A326,'Plano de Contas'!#REF!,10,FALSE)),"",VLOOKUP($A326,'Plano de Contas'!#REF!,10,FALSE))</f>
        <v/>
      </c>
    </row>
    <row r="327" spans="1:16" x14ac:dyDescent="0.25">
      <c r="A327" t="s">
        <v>539</v>
      </c>
      <c r="B327">
        <v>134</v>
      </c>
      <c r="C327" t="s">
        <v>540</v>
      </c>
      <c r="D327" s="10">
        <v>1056058.69</v>
      </c>
      <c r="E327" t="s">
        <v>35</v>
      </c>
      <c r="F327" s="10">
        <v>1654221.96</v>
      </c>
      <c r="H327" s="10">
        <v>1760322.97</v>
      </c>
      <c r="I327" t="s">
        <v>35</v>
      </c>
      <c r="J327" s="10">
        <v>1162159.7</v>
      </c>
      <c r="K327" t="s">
        <v>35</v>
      </c>
      <c r="L327" s="1">
        <f t="shared" si="4"/>
        <v>-1162159.7</v>
      </c>
      <c r="N327" s="6" t="str">
        <f>IF(ISERROR(VLOOKUP($A327,'Plano de Contas'!#REF!,8,FALSE)),"",VLOOKUP($A327,'Plano de Contas'!#REF!,8,FALSE))</f>
        <v/>
      </c>
      <c r="P327" s="6" t="str">
        <f>IF(ISERROR(VLOOKUP($A327,'Plano de Contas'!#REF!,10,FALSE)),"",VLOOKUP($A327,'Plano de Contas'!#REF!,10,FALSE))</f>
        <v/>
      </c>
    </row>
    <row r="328" spans="1:16" x14ac:dyDescent="0.25">
      <c r="A328" t="s">
        <v>541</v>
      </c>
      <c r="B328">
        <v>135</v>
      </c>
      <c r="C328" t="s">
        <v>542</v>
      </c>
      <c r="D328" s="10">
        <v>150009.66</v>
      </c>
      <c r="E328" t="s">
        <v>35</v>
      </c>
      <c r="F328" s="10">
        <v>210815.87</v>
      </c>
      <c r="H328" s="10">
        <v>297712.76</v>
      </c>
      <c r="I328" t="s">
        <v>35</v>
      </c>
      <c r="J328" s="10">
        <v>236906.55</v>
      </c>
      <c r="K328" t="s">
        <v>35</v>
      </c>
      <c r="L328" s="1">
        <f t="shared" ref="L328:L391" si="5">IF(K328="-",-J328,J328)</f>
        <v>-236906.55</v>
      </c>
      <c r="N328" s="6" t="str">
        <f>IF(ISERROR(VLOOKUP($A328,'Plano de Contas'!#REF!,8,FALSE)),"",VLOOKUP($A328,'Plano de Contas'!#REF!,8,FALSE))</f>
        <v/>
      </c>
      <c r="P328" s="6" t="str">
        <f>IF(ISERROR(VLOOKUP($A328,'Plano de Contas'!#REF!,10,FALSE)),"",VLOOKUP($A328,'Plano de Contas'!#REF!,10,FALSE))</f>
        <v/>
      </c>
    </row>
    <row r="329" spans="1:16" x14ac:dyDescent="0.25">
      <c r="L329" s="1">
        <f t="shared" si="5"/>
        <v>0</v>
      </c>
      <c r="N329" s="6" t="str">
        <f>IF(ISERROR(VLOOKUP($A329,'Plano de Contas'!#REF!,8,FALSE)),"",VLOOKUP($A329,'Plano de Contas'!#REF!,8,FALSE))</f>
        <v/>
      </c>
      <c r="P329" s="6" t="str">
        <f>IF(ISERROR(VLOOKUP($A329,'Plano de Contas'!#REF!,10,FALSE)),"",VLOOKUP($A329,'Plano de Contas'!#REF!,10,FALSE))</f>
        <v/>
      </c>
    </row>
    <row r="330" spans="1:16" x14ac:dyDescent="0.25">
      <c r="A330" t="s">
        <v>543</v>
      </c>
      <c r="B330">
        <v>136</v>
      </c>
      <c r="C330" t="s">
        <v>544</v>
      </c>
      <c r="D330" s="10">
        <v>3624446.53</v>
      </c>
      <c r="E330" t="s">
        <v>35</v>
      </c>
      <c r="F330" s="10">
        <v>2387517.75</v>
      </c>
      <c r="H330" s="10">
        <v>3404164.99</v>
      </c>
      <c r="I330" t="s">
        <v>35</v>
      </c>
      <c r="J330" s="10">
        <v>4641093.7699999996</v>
      </c>
      <c r="K330" t="s">
        <v>35</v>
      </c>
      <c r="L330" s="1">
        <f t="shared" si="5"/>
        <v>-4641093.7699999996</v>
      </c>
      <c r="N330" s="6" t="str">
        <f>IF(ISERROR(VLOOKUP($A330,'Plano de Contas'!#REF!,8,FALSE)),"",VLOOKUP($A330,'Plano de Contas'!#REF!,8,FALSE))</f>
        <v/>
      </c>
      <c r="P330" s="6" t="str">
        <f>IF(ISERROR(VLOOKUP($A330,'Plano de Contas'!#REF!,10,FALSE)),"",VLOOKUP($A330,'Plano de Contas'!#REF!,10,FALSE))</f>
        <v/>
      </c>
    </row>
    <row r="331" spans="1:16" x14ac:dyDescent="0.25">
      <c r="A331" t="s">
        <v>545</v>
      </c>
      <c r="B331">
        <v>137</v>
      </c>
      <c r="C331" t="s">
        <v>546</v>
      </c>
      <c r="D331" s="10">
        <v>111800.8</v>
      </c>
      <c r="E331" t="s">
        <v>35</v>
      </c>
      <c r="F331" s="10">
        <v>88343.93</v>
      </c>
      <c r="H331" s="10">
        <v>82133.11</v>
      </c>
      <c r="I331" t="s">
        <v>35</v>
      </c>
      <c r="J331" s="10">
        <v>105589.98</v>
      </c>
      <c r="K331" t="s">
        <v>35</v>
      </c>
      <c r="L331" s="1">
        <f t="shared" si="5"/>
        <v>-105589.98</v>
      </c>
      <c r="N331" s="6" t="str">
        <f>IF(ISERROR(VLOOKUP($A331,'Plano de Contas'!#REF!,8,FALSE)),"",VLOOKUP($A331,'Plano de Contas'!#REF!,8,FALSE))</f>
        <v/>
      </c>
      <c r="P331" s="6" t="str">
        <f>IF(ISERROR(VLOOKUP($A331,'Plano de Contas'!#REF!,10,FALSE)),"",VLOOKUP($A331,'Plano de Contas'!#REF!,10,FALSE))</f>
        <v/>
      </c>
    </row>
    <row r="332" spans="1:16" x14ac:dyDescent="0.25">
      <c r="A332" t="s">
        <v>547</v>
      </c>
      <c r="B332">
        <v>138</v>
      </c>
      <c r="C332" t="s">
        <v>548</v>
      </c>
      <c r="D332">
        <v>-65.569999999999993</v>
      </c>
      <c r="F332">
        <v>0</v>
      </c>
      <c r="H332">
        <v>0</v>
      </c>
      <c r="J332">
        <v>65.569999999999993</v>
      </c>
      <c r="K332" t="s">
        <v>35</v>
      </c>
      <c r="L332" s="1">
        <f t="shared" si="5"/>
        <v>-65.569999999999993</v>
      </c>
      <c r="N332" s="6" t="str">
        <f>IF(ISERROR(VLOOKUP($A332,'Plano de Contas'!#REF!,8,FALSE)),"",VLOOKUP($A332,'Plano de Contas'!#REF!,8,FALSE))</f>
        <v/>
      </c>
      <c r="P332" s="6" t="str">
        <f>IF(ISERROR(VLOOKUP($A332,'Plano de Contas'!#REF!,10,FALSE)),"",VLOOKUP($A332,'Plano de Contas'!#REF!,10,FALSE))</f>
        <v/>
      </c>
    </row>
    <row r="333" spans="1:16" x14ac:dyDescent="0.25">
      <c r="A333" t="s">
        <v>549</v>
      </c>
      <c r="B333">
        <v>139</v>
      </c>
      <c r="C333" t="s">
        <v>550</v>
      </c>
      <c r="D333" s="10">
        <v>265550.71999999997</v>
      </c>
      <c r="E333" t="s">
        <v>35</v>
      </c>
      <c r="F333" s="10">
        <v>278205.25</v>
      </c>
      <c r="H333" s="10">
        <v>514644</v>
      </c>
      <c r="I333" t="s">
        <v>35</v>
      </c>
      <c r="J333" s="10">
        <v>501989.47</v>
      </c>
      <c r="K333" t="s">
        <v>35</v>
      </c>
      <c r="L333" s="1">
        <f t="shared" si="5"/>
        <v>-501989.47</v>
      </c>
      <c r="N333" s="6" t="str">
        <f>IF(ISERROR(VLOOKUP($A333,'Plano de Contas'!#REF!,8,FALSE)),"",VLOOKUP($A333,'Plano de Contas'!#REF!,8,FALSE))</f>
        <v/>
      </c>
      <c r="P333" s="6" t="str">
        <f>IF(ISERROR(VLOOKUP($A333,'Plano de Contas'!#REF!,10,FALSE)),"",VLOOKUP($A333,'Plano de Contas'!#REF!,10,FALSE))</f>
        <v/>
      </c>
    </row>
    <row r="334" spans="1:16" x14ac:dyDescent="0.25">
      <c r="A334" t="s">
        <v>551</v>
      </c>
      <c r="B334">
        <v>142</v>
      </c>
      <c r="C334" t="s">
        <v>552</v>
      </c>
      <c r="D334" s="10">
        <v>142577.28</v>
      </c>
      <c r="E334" t="s">
        <v>35</v>
      </c>
      <c r="F334" s="10">
        <v>157910.25</v>
      </c>
      <c r="H334" s="10">
        <v>153375.56</v>
      </c>
      <c r="I334" t="s">
        <v>35</v>
      </c>
      <c r="J334" s="10">
        <v>138042.59</v>
      </c>
      <c r="K334" t="s">
        <v>35</v>
      </c>
      <c r="L334" s="1">
        <f t="shared" si="5"/>
        <v>-138042.59</v>
      </c>
      <c r="N334" s="6" t="str">
        <f>IF(ISERROR(VLOOKUP($A334,'Plano de Contas'!#REF!,8,FALSE)),"",VLOOKUP($A334,'Plano de Contas'!#REF!,8,FALSE))</f>
        <v/>
      </c>
      <c r="P334" s="6" t="str">
        <f>IF(ISERROR(VLOOKUP($A334,'Plano de Contas'!#REF!,10,FALSE)),"",VLOOKUP($A334,'Plano de Contas'!#REF!,10,FALSE))</f>
        <v/>
      </c>
    </row>
    <row r="335" spans="1:16" x14ac:dyDescent="0.25">
      <c r="A335" t="s">
        <v>553</v>
      </c>
      <c r="B335">
        <v>143</v>
      </c>
      <c r="C335" t="s">
        <v>554</v>
      </c>
      <c r="D335" s="10">
        <v>656546.71</v>
      </c>
      <c r="E335" t="s">
        <v>35</v>
      </c>
      <c r="F335" s="10">
        <v>727285.22</v>
      </c>
      <c r="H335" s="10">
        <v>706448.27</v>
      </c>
      <c r="I335" t="s">
        <v>35</v>
      </c>
      <c r="J335" s="10">
        <v>635709.76</v>
      </c>
      <c r="K335" t="s">
        <v>35</v>
      </c>
      <c r="L335" s="1">
        <f t="shared" si="5"/>
        <v>-635709.76</v>
      </c>
      <c r="N335" s="6" t="str">
        <f>IF(ISERROR(VLOOKUP($A335,'Plano de Contas'!#REF!,8,FALSE)),"",VLOOKUP($A335,'Plano de Contas'!#REF!,8,FALSE))</f>
        <v/>
      </c>
      <c r="P335" s="6" t="str">
        <f>IF(ISERROR(VLOOKUP($A335,'Plano de Contas'!#REF!,10,FALSE)),"",VLOOKUP($A335,'Plano de Contas'!#REF!,10,FALSE))</f>
        <v/>
      </c>
    </row>
    <row r="336" spans="1:16" x14ac:dyDescent="0.25">
      <c r="A336" t="s">
        <v>555</v>
      </c>
      <c r="B336">
        <v>144</v>
      </c>
      <c r="C336" t="s">
        <v>556</v>
      </c>
      <c r="D336" s="10">
        <v>-129986.14</v>
      </c>
      <c r="F336" s="10">
        <v>175013.5</v>
      </c>
      <c r="H336" s="10">
        <v>149801.97</v>
      </c>
      <c r="J336" s="10">
        <v>104774.61</v>
      </c>
      <c r="K336" t="s">
        <v>35</v>
      </c>
      <c r="L336" s="1">
        <f t="shared" si="5"/>
        <v>-104774.61</v>
      </c>
      <c r="N336" s="6" t="str">
        <f>IF(ISERROR(VLOOKUP($A336,'Plano de Contas'!#REF!,8,FALSE)),"",VLOOKUP($A336,'Plano de Contas'!#REF!,8,FALSE))</f>
        <v/>
      </c>
      <c r="P336" s="6" t="str">
        <f>IF(ISERROR(VLOOKUP($A336,'Plano de Contas'!#REF!,10,FALSE)),"",VLOOKUP($A336,'Plano de Contas'!#REF!,10,FALSE))</f>
        <v/>
      </c>
    </row>
    <row r="337" spans="1:16" x14ac:dyDescent="0.25">
      <c r="A337" t="s">
        <v>557</v>
      </c>
      <c r="B337">
        <v>145</v>
      </c>
      <c r="C337" t="s">
        <v>558</v>
      </c>
      <c r="D337" s="10">
        <v>1674460.78</v>
      </c>
      <c r="E337" t="s">
        <v>35</v>
      </c>
      <c r="F337" s="10">
        <v>805032.03</v>
      </c>
      <c r="H337" s="10">
        <v>1010310.05</v>
      </c>
      <c r="I337" t="s">
        <v>35</v>
      </c>
      <c r="J337" s="10">
        <v>1879738.8</v>
      </c>
      <c r="K337" t="s">
        <v>35</v>
      </c>
      <c r="L337" s="1">
        <f t="shared" si="5"/>
        <v>-1879738.8</v>
      </c>
      <c r="N337" s="6" t="str">
        <f>IF(ISERROR(VLOOKUP($A337,'Plano de Contas'!#REF!,8,FALSE)),"",VLOOKUP($A337,'Plano de Contas'!#REF!,8,FALSE))</f>
        <v/>
      </c>
      <c r="P337" s="6" t="str">
        <f>IF(ISERROR(VLOOKUP($A337,'Plano de Contas'!#REF!,10,FALSE)),"",VLOOKUP($A337,'Plano de Contas'!#REF!,10,FALSE))</f>
        <v/>
      </c>
    </row>
    <row r="338" spans="1:16" x14ac:dyDescent="0.25">
      <c r="A338" t="s">
        <v>559</v>
      </c>
      <c r="B338">
        <v>511</v>
      </c>
      <c r="C338" t="s">
        <v>560</v>
      </c>
      <c r="D338" s="10">
        <v>256222.89</v>
      </c>
      <c r="E338" t="s">
        <v>35</v>
      </c>
      <c r="F338">
        <v>0</v>
      </c>
      <c r="H338" s="10">
        <v>310765.40000000002</v>
      </c>
      <c r="I338" t="s">
        <v>35</v>
      </c>
      <c r="J338" s="10">
        <v>566988.29</v>
      </c>
      <c r="K338" t="s">
        <v>35</v>
      </c>
      <c r="L338" s="1">
        <f t="shared" si="5"/>
        <v>-566988.29</v>
      </c>
      <c r="N338" s="6" t="str">
        <f>IF(ISERROR(VLOOKUP($A338,'Plano de Contas'!#REF!,8,FALSE)),"",VLOOKUP($A338,'Plano de Contas'!#REF!,8,FALSE))</f>
        <v/>
      </c>
      <c r="P338" s="6" t="str">
        <f>IF(ISERROR(VLOOKUP($A338,'Plano de Contas'!#REF!,10,FALSE)),"",VLOOKUP($A338,'Plano de Contas'!#REF!,10,FALSE))</f>
        <v/>
      </c>
    </row>
    <row r="339" spans="1:16" x14ac:dyDescent="0.25">
      <c r="A339" t="s">
        <v>561</v>
      </c>
      <c r="B339">
        <v>512</v>
      </c>
      <c r="C339" t="s">
        <v>562</v>
      </c>
      <c r="D339" s="10">
        <v>186209.33</v>
      </c>
      <c r="E339" t="s">
        <v>35</v>
      </c>
      <c r="F339">
        <v>0</v>
      </c>
      <c r="H339" s="10">
        <v>160850.79</v>
      </c>
      <c r="I339" t="s">
        <v>35</v>
      </c>
      <c r="J339" s="10">
        <v>347060.12</v>
      </c>
      <c r="K339" t="s">
        <v>35</v>
      </c>
      <c r="L339" s="1">
        <f t="shared" si="5"/>
        <v>-347060.12</v>
      </c>
      <c r="N339" s="6" t="str">
        <f>IF(ISERROR(VLOOKUP($A339,'Plano de Contas'!#REF!,8,FALSE)),"",VLOOKUP($A339,'Plano de Contas'!#REF!,8,FALSE))</f>
        <v/>
      </c>
      <c r="P339" s="6" t="str">
        <f>IF(ISERROR(VLOOKUP($A339,'Plano de Contas'!#REF!,10,FALSE)),"",VLOOKUP($A339,'Plano de Contas'!#REF!,10,FALSE))</f>
        <v/>
      </c>
    </row>
    <row r="340" spans="1:16" x14ac:dyDescent="0.25">
      <c r="A340" t="s">
        <v>563</v>
      </c>
      <c r="B340">
        <v>627</v>
      </c>
      <c r="C340" t="s">
        <v>564</v>
      </c>
      <c r="D340">
        <v>750</v>
      </c>
      <c r="E340" t="s">
        <v>35</v>
      </c>
      <c r="F340" s="10">
        <v>7480</v>
      </c>
      <c r="H340" s="10">
        <v>7480</v>
      </c>
      <c r="I340" t="s">
        <v>35</v>
      </c>
      <c r="J340">
        <v>750</v>
      </c>
      <c r="K340" t="s">
        <v>35</v>
      </c>
      <c r="L340" s="1">
        <f t="shared" si="5"/>
        <v>-750</v>
      </c>
      <c r="N340" s="6" t="str">
        <f>IF(ISERROR(VLOOKUP($A340,'Plano de Contas'!#REF!,8,FALSE)),"",VLOOKUP($A340,'Plano de Contas'!#REF!,8,FALSE))</f>
        <v/>
      </c>
      <c r="P340" s="6" t="str">
        <f>IF(ISERROR(VLOOKUP($A340,'Plano de Contas'!#REF!,10,FALSE)),"",VLOOKUP($A340,'Plano de Contas'!#REF!,10,FALSE))</f>
        <v/>
      </c>
    </row>
    <row r="341" spans="1:16" x14ac:dyDescent="0.25">
      <c r="A341" t="s">
        <v>565</v>
      </c>
      <c r="B341">
        <v>147</v>
      </c>
      <c r="C341" t="s">
        <v>566</v>
      </c>
      <c r="D341" s="10">
        <v>200276.31</v>
      </c>
      <c r="E341" t="s">
        <v>35</v>
      </c>
      <c r="F341" s="10">
        <v>148247.57</v>
      </c>
      <c r="H341" s="10">
        <v>308355.84000000003</v>
      </c>
      <c r="I341" t="s">
        <v>35</v>
      </c>
      <c r="J341" s="10">
        <v>360384.58</v>
      </c>
      <c r="K341" t="s">
        <v>35</v>
      </c>
      <c r="L341" s="1">
        <f t="shared" si="5"/>
        <v>-360384.58</v>
      </c>
      <c r="N341" s="6" t="str">
        <f>IF(ISERROR(VLOOKUP($A341,'Plano de Contas'!#REF!,8,FALSE)),"",VLOOKUP($A341,'Plano de Contas'!#REF!,8,FALSE))</f>
        <v/>
      </c>
      <c r="P341" s="6" t="str">
        <f>IF(ISERROR(VLOOKUP($A341,'Plano de Contas'!#REF!,10,FALSE)),"",VLOOKUP($A341,'Plano de Contas'!#REF!,10,FALSE))</f>
        <v/>
      </c>
    </row>
    <row r="342" spans="1:16" x14ac:dyDescent="0.25">
      <c r="L342" s="1">
        <f t="shared" si="5"/>
        <v>0</v>
      </c>
      <c r="N342" s="6" t="str">
        <f>IF(ISERROR(VLOOKUP($A342,'Plano de Contas'!#REF!,8,FALSE)),"",VLOOKUP($A342,'Plano de Contas'!#REF!,8,FALSE))</f>
        <v/>
      </c>
      <c r="P342" s="6" t="str">
        <f>IF(ISERROR(VLOOKUP($A342,'Plano de Contas'!#REF!,10,FALSE)),"",VLOOKUP($A342,'Plano de Contas'!#REF!,10,FALSE))</f>
        <v/>
      </c>
    </row>
    <row r="343" spans="1:16" x14ac:dyDescent="0.25">
      <c r="A343" t="s">
        <v>571</v>
      </c>
      <c r="B343">
        <v>149</v>
      </c>
      <c r="C343" t="s">
        <v>572</v>
      </c>
      <c r="D343" s="10">
        <v>5435662.9900000002</v>
      </c>
      <c r="E343" t="s">
        <v>35</v>
      </c>
      <c r="F343" s="10">
        <v>2699770.64</v>
      </c>
      <c r="H343" s="10">
        <v>710525.99</v>
      </c>
      <c r="I343" t="s">
        <v>35</v>
      </c>
      <c r="J343" s="10">
        <v>3446418.34</v>
      </c>
      <c r="K343" t="s">
        <v>35</v>
      </c>
      <c r="L343" s="1">
        <f t="shared" si="5"/>
        <v>-3446418.34</v>
      </c>
      <c r="N343" s="6" t="str">
        <f>IF(ISERROR(VLOOKUP($A343,'Plano de Contas'!#REF!,8,FALSE)),"",VLOOKUP($A343,'Plano de Contas'!#REF!,8,FALSE))</f>
        <v/>
      </c>
      <c r="P343" s="6" t="str">
        <f>IF(ISERROR(VLOOKUP($A343,'Plano de Contas'!#REF!,10,FALSE)),"",VLOOKUP($A343,'Plano de Contas'!#REF!,10,FALSE))</f>
        <v/>
      </c>
    </row>
    <row r="344" spans="1:16" x14ac:dyDescent="0.25">
      <c r="A344" t="s">
        <v>573</v>
      </c>
      <c r="B344">
        <v>150</v>
      </c>
      <c r="C344" t="s">
        <v>574</v>
      </c>
      <c r="D344" s="10">
        <v>-2269560.58</v>
      </c>
      <c r="F344" s="10">
        <v>211095.16</v>
      </c>
      <c r="H344" s="10">
        <v>471946.54</v>
      </c>
      <c r="J344" s="10">
        <v>2530411.96</v>
      </c>
      <c r="K344" t="s">
        <v>35</v>
      </c>
      <c r="L344" s="1">
        <f t="shared" si="5"/>
        <v>-2530411.96</v>
      </c>
      <c r="N344" s="6" t="str">
        <f>IF(ISERROR(VLOOKUP($A344,'Plano de Contas'!#REF!,8,FALSE)),"",VLOOKUP($A344,'Plano de Contas'!#REF!,8,FALSE))</f>
        <v/>
      </c>
      <c r="P344" s="6" t="str">
        <f>IF(ISERROR(VLOOKUP($A344,'Plano de Contas'!#REF!,10,FALSE)),"",VLOOKUP($A344,'Plano de Contas'!#REF!,10,FALSE))</f>
        <v/>
      </c>
    </row>
    <row r="345" spans="1:16" x14ac:dyDescent="0.25">
      <c r="A345" t="s">
        <v>575</v>
      </c>
      <c r="B345">
        <v>151</v>
      </c>
      <c r="C345" t="s">
        <v>576</v>
      </c>
      <c r="D345" s="10">
        <v>-679634.59</v>
      </c>
      <c r="F345" s="10">
        <v>51829.25</v>
      </c>
      <c r="H345" s="10">
        <v>85769.38</v>
      </c>
      <c r="J345" s="10">
        <v>713574.72</v>
      </c>
      <c r="K345" t="s">
        <v>35</v>
      </c>
      <c r="L345" s="1">
        <f t="shared" si="5"/>
        <v>-713574.72</v>
      </c>
      <c r="N345" s="6" t="str">
        <f>IF(ISERROR(VLOOKUP($A345,'Plano de Contas'!#REF!,8,FALSE)),"",VLOOKUP($A345,'Plano de Contas'!#REF!,8,FALSE))</f>
        <v/>
      </c>
      <c r="P345" s="6" t="str">
        <f>IF(ISERROR(VLOOKUP($A345,'Plano de Contas'!#REF!,10,FALSE)),"",VLOOKUP($A345,'Plano de Contas'!#REF!,10,FALSE))</f>
        <v/>
      </c>
    </row>
    <row r="346" spans="1:16" x14ac:dyDescent="0.25">
      <c r="A346" t="s">
        <v>577</v>
      </c>
      <c r="B346">
        <v>152</v>
      </c>
      <c r="C346" t="s">
        <v>578</v>
      </c>
      <c r="D346" s="10">
        <v>-192235.26</v>
      </c>
      <c r="F346" s="10">
        <v>14318.96</v>
      </c>
      <c r="H346" s="10">
        <v>24515.360000000001</v>
      </c>
      <c r="J346" s="10">
        <v>202431.66</v>
      </c>
      <c r="K346" t="s">
        <v>35</v>
      </c>
      <c r="L346" s="1">
        <f t="shared" si="5"/>
        <v>-202431.66</v>
      </c>
      <c r="N346" s="6" t="str">
        <f>IF(ISERROR(VLOOKUP($A346,'Plano de Contas'!#REF!,8,FALSE)),"",VLOOKUP($A346,'Plano de Contas'!#REF!,8,FALSE))</f>
        <v/>
      </c>
      <c r="P346" s="6" t="str">
        <f>IF(ISERROR(VLOOKUP($A346,'Plano de Contas'!#REF!,10,FALSE)),"",VLOOKUP($A346,'Plano de Contas'!#REF!,10,FALSE))</f>
        <v/>
      </c>
    </row>
    <row r="347" spans="1:16" x14ac:dyDescent="0.25">
      <c r="A347" t="s">
        <v>579</v>
      </c>
      <c r="B347">
        <v>153</v>
      </c>
      <c r="C347" t="s">
        <v>580</v>
      </c>
      <c r="D347" s="10">
        <v>-1684097.54</v>
      </c>
      <c r="F347" s="10">
        <v>1774485.32</v>
      </c>
      <c r="H347" s="10">
        <v>90387.78</v>
      </c>
      <c r="J347">
        <v>0</v>
      </c>
      <c r="L347" s="1">
        <f t="shared" si="5"/>
        <v>0</v>
      </c>
      <c r="N347" s="6" t="str">
        <f>IF(ISERROR(VLOOKUP($A347,'Plano de Contas'!#REF!,8,FALSE)),"",VLOOKUP($A347,'Plano de Contas'!#REF!,8,FALSE))</f>
        <v/>
      </c>
      <c r="P347" s="6" t="str">
        <f>IF(ISERROR(VLOOKUP($A347,'Plano de Contas'!#REF!,10,FALSE)),"",VLOOKUP($A347,'Plano de Contas'!#REF!,10,FALSE))</f>
        <v/>
      </c>
    </row>
    <row r="348" spans="1:16" x14ac:dyDescent="0.25">
      <c r="A348" t="s">
        <v>581</v>
      </c>
      <c r="B348">
        <v>154</v>
      </c>
      <c r="C348" t="s">
        <v>582</v>
      </c>
      <c r="D348" s="10">
        <v>-475013.53</v>
      </c>
      <c r="F348" s="10">
        <v>504227.52</v>
      </c>
      <c r="H348" s="10">
        <v>29213.99</v>
      </c>
      <c r="J348">
        <v>0</v>
      </c>
      <c r="L348" s="1">
        <f t="shared" si="5"/>
        <v>0</v>
      </c>
      <c r="N348" s="6" t="str">
        <f>IF(ISERROR(VLOOKUP($A348,'Plano de Contas'!#REF!,8,FALSE)),"",VLOOKUP($A348,'Plano de Contas'!#REF!,8,FALSE))</f>
        <v/>
      </c>
      <c r="P348" s="6" t="str">
        <f>IF(ISERROR(VLOOKUP($A348,'Plano de Contas'!#REF!,10,FALSE)),"",VLOOKUP($A348,'Plano de Contas'!#REF!,10,FALSE))</f>
        <v/>
      </c>
    </row>
    <row r="349" spans="1:16" x14ac:dyDescent="0.25">
      <c r="A349" t="s">
        <v>583</v>
      </c>
      <c r="B349">
        <v>155</v>
      </c>
      <c r="C349" t="s">
        <v>584</v>
      </c>
      <c r="D349" s="10">
        <v>-135121.49</v>
      </c>
      <c r="F349" s="10">
        <v>143814.43</v>
      </c>
      <c r="H349" s="10">
        <v>8692.94</v>
      </c>
      <c r="J349">
        <v>0</v>
      </c>
      <c r="L349" s="1">
        <f t="shared" si="5"/>
        <v>0</v>
      </c>
      <c r="N349" s="6" t="str">
        <f>IF(ISERROR(VLOOKUP($A349,'Plano de Contas'!#REF!,8,FALSE)),"",VLOOKUP($A349,'Plano de Contas'!#REF!,8,FALSE))</f>
        <v/>
      </c>
      <c r="P349" s="6" t="str">
        <f>IF(ISERROR(VLOOKUP($A349,'Plano de Contas'!#REF!,10,FALSE)),"",VLOOKUP($A349,'Plano de Contas'!#REF!,10,FALSE))</f>
        <v/>
      </c>
    </row>
    <row r="350" spans="1:16" x14ac:dyDescent="0.25">
      <c r="L350" s="1">
        <f t="shared" si="5"/>
        <v>0</v>
      </c>
      <c r="N350" s="6" t="str">
        <f>IF(ISERROR(VLOOKUP($A350,'Plano de Contas'!#REF!,8,FALSE)),"",VLOOKUP($A350,'Plano de Contas'!#REF!,8,FALSE))</f>
        <v/>
      </c>
      <c r="P350" s="6" t="str">
        <f>IF(ISERROR(VLOOKUP($A350,'Plano de Contas'!#REF!,10,FALSE)),"",VLOOKUP($A350,'Plano de Contas'!#REF!,10,FALSE))</f>
        <v/>
      </c>
    </row>
    <row r="351" spans="1:16" x14ac:dyDescent="0.25">
      <c r="A351" t="s">
        <v>585</v>
      </c>
      <c r="B351">
        <v>156</v>
      </c>
      <c r="C351" t="s">
        <v>586</v>
      </c>
      <c r="D351" s="10">
        <v>80809.240000000005</v>
      </c>
      <c r="E351" t="s">
        <v>35</v>
      </c>
      <c r="F351" s="10">
        <v>33707.040000000001</v>
      </c>
      <c r="H351" s="10">
        <v>155140.04</v>
      </c>
      <c r="I351" t="s">
        <v>35</v>
      </c>
      <c r="J351" s="10">
        <v>202242.24</v>
      </c>
      <c r="K351" t="s">
        <v>35</v>
      </c>
      <c r="L351" s="1">
        <f t="shared" si="5"/>
        <v>-202242.24</v>
      </c>
      <c r="N351" s="6" t="str">
        <f>IF(ISERROR(VLOOKUP($A351,'Plano de Contas'!#REF!,8,FALSE)),"",VLOOKUP($A351,'Plano de Contas'!#REF!,8,FALSE))</f>
        <v/>
      </c>
      <c r="P351" s="6" t="str">
        <f>IF(ISERROR(VLOOKUP($A351,'Plano de Contas'!#REF!,10,FALSE)),"",VLOOKUP($A351,'Plano de Contas'!#REF!,10,FALSE))</f>
        <v/>
      </c>
    </row>
    <row r="352" spans="1:16" x14ac:dyDescent="0.25">
      <c r="A352" t="s">
        <v>587</v>
      </c>
      <c r="B352">
        <v>686</v>
      </c>
      <c r="C352" t="s">
        <v>588</v>
      </c>
      <c r="D352" s="10">
        <v>80809.240000000005</v>
      </c>
      <c r="E352" t="s">
        <v>35</v>
      </c>
      <c r="F352" s="10">
        <v>33707.040000000001</v>
      </c>
      <c r="H352" s="10">
        <v>155140.04</v>
      </c>
      <c r="I352" t="s">
        <v>35</v>
      </c>
      <c r="J352" s="10">
        <v>202242.24</v>
      </c>
      <c r="K352" t="s">
        <v>35</v>
      </c>
      <c r="L352" s="1">
        <f t="shared" si="5"/>
        <v>-202242.24</v>
      </c>
      <c r="N352" s="6" t="str">
        <f>IF(ISERROR(VLOOKUP($A352,'Plano de Contas'!#REF!,8,FALSE)),"",VLOOKUP($A352,'Plano de Contas'!#REF!,8,FALSE))</f>
        <v/>
      </c>
      <c r="P352" s="6" t="str">
        <f>IF(ISERROR(VLOOKUP($A352,'Plano de Contas'!#REF!,10,FALSE)),"",VLOOKUP($A352,'Plano de Contas'!#REF!,10,FALSE))</f>
        <v/>
      </c>
    </row>
    <row r="353" spans="1:16" x14ac:dyDescent="0.25">
      <c r="L353" s="1">
        <f t="shared" si="5"/>
        <v>0</v>
      </c>
      <c r="N353" s="6" t="str">
        <f>IF(ISERROR(VLOOKUP($A353,'Plano de Contas'!#REF!,8,FALSE)),"",VLOOKUP($A353,'Plano de Contas'!#REF!,8,FALSE))</f>
        <v/>
      </c>
      <c r="P353" s="6" t="str">
        <f>IF(ISERROR(VLOOKUP($A353,'Plano de Contas'!#REF!,10,FALSE)),"",VLOOKUP($A353,'Plano de Contas'!#REF!,10,FALSE))</f>
        <v/>
      </c>
    </row>
    <row r="354" spans="1:16" x14ac:dyDescent="0.25">
      <c r="A354" t="s">
        <v>591</v>
      </c>
      <c r="B354">
        <v>157</v>
      </c>
      <c r="C354" t="s">
        <v>592</v>
      </c>
      <c r="D354" s="10">
        <v>2723594.82</v>
      </c>
      <c r="E354" t="s">
        <v>35</v>
      </c>
      <c r="F354">
        <v>0</v>
      </c>
      <c r="H354" s="10">
        <v>55202.04</v>
      </c>
      <c r="I354" t="s">
        <v>35</v>
      </c>
      <c r="J354" s="10">
        <v>2778796.86</v>
      </c>
      <c r="K354" t="s">
        <v>35</v>
      </c>
      <c r="L354" s="1">
        <f t="shared" si="5"/>
        <v>-2778796.86</v>
      </c>
      <c r="N354" s="6" t="str">
        <f>IF(ISERROR(VLOOKUP($A354,'Plano de Contas'!#REF!,8,FALSE)),"",VLOOKUP($A354,'Plano de Contas'!#REF!,8,FALSE))</f>
        <v/>
      </c>
      <c r="P354" s="6" t="str">
        <f>IF(ISERROR(VLOOKUP($A354,'Plano de Contas'!#REF!,10,FALSE)),"",VLOOKUP($A354,'Plano de Contas'!#REF!,10,FALSE))</f>
        <v/>
      </c>
    </row>
    <row r="355" spans="1:16" x14ac:dyDescent="0.25">
      <c r="A355" t="s">
        <v>593</v>
      </c>
      <c r="B355">
        <v>325</v>
      </c>
      <c r="C355" t="s">
        <v>594</v>
      </c>
      <c r="D355" s="10">
        <v>2723594.82</v>
      </c>
      <c r="E355" t="s">
        <v>35</v>
      </c>
      <c r="F355">
        <v>0</v>
      </c>
      <c r="H355" s="10">
        <v>55202.04</v>
      </c>
      <c r="I355" t="s">
        <v>35</v>
      </c>
      <c r="J355" s="10">
        <v>2778796.86</v>
      </c>
      <c r="K355" t="s">
        <v>35</v>
      </c>
      <c r="L355" s="1">
        <f t="shared" si="5"/>
        <v>-2778796.86</v>
      </c>
      <c r="N355" s="6" t="str">
        <f>IF(ISERROR(VLOOKUP($A355,'Plano de Contas'!#REF!,8,FALSE)),"",VLOOKUP($A355,'Plano de Contas'!#REF!,8,FALSE))</f>
        <v/>
      </c>
      <c r="P355" s="6" t="str">
        <f>IF(ISERROR(VLOOKUP($A355,'Plano de Contas'!#REF!,10,FALSE)),"",VLOOKUP($A355,'Plano de Contas'!#REF!,10,FALSE))</f>
        <v/>
      </c>
    </row>
    <row r="356" spans="1:16" x14ac:dyDescent="0.25">
      <c r="L356" s="1">
        <f t="shared" si="5"/>
        <v>0</v>
      </c>
      <c r="N356" s="6" t="str">
        <f>IF(ISERROR(VLOOKUP($A356,'Plano de Contas'!#REF!,8,FALSE)),"",VLOOKUP($A356,'Plano de Contas'!#REF!,8,FALSE))</f>
        <v/>
      </c>
      <c r="P356" s="6" t="str">
        <f>IF(ISERROR(VLOOKUP($A356,'Plano de Contas'!#REF!,10,FALSE)),"",VLOOKUP($A356,'Plano de Contas'!#REF!,10,FALSE))</f>
        <v/>
      </c>
    </row>
    <row r="357" spans="1:16" x14ac:dyDescent="0.25">
      <c r="A357" t="s">
        <v>595</v>
      </c>
      <c r="B357">
        <v>158</v>
      </c>
      <c r="C357" t="s">
        <v>596</v>
      </c>
      <c r="D357" s="10">
        <v>323913.84999999998</v>
      </c>
      <c r="E357" t="s">
        <v>35</v>
      </c>
      <c r="F357" s="10">
        <v>91300</v>
      </c>
      <c r="H357" s="10">
        <v>138038.6</v>
      </c>
      <c r="I357" t="s">
        <v>35</v>
      </c>
      <c r="J357" s="10">
        <v>370652.45</v>
      </c>
      <c r="K357" t="s">
        <v>35</v>
      </c>
      <c r="L357" s="1">
        <f t="shared" si="5"/>
        <v>-370652.45</v>
      </c>
      <c r="N357" s="6" t="str">
        <f>IF(ISERROR(VLOOKUP($A357,'Plano de Contas'!#REF!,8,FALSE)),"",VLOOKUP($A357,'Plano de Contas'!#REF!,8,FALSE))</f>
        <v/>
      </c>
      <c r="P357" s="6" t="str">
        <f>IF(ISERROR(VLOOKUP($A357,'Plano de Contas'!#REF!,10,FALSE)),"",VLOOKUP($A357,'Plano de Contas'!#REF!,10,FALSE))</f>
        <v/>
      </c>
    </row>
    <row r="358" spans="1:16" x14ac:dyDescent="0.25">
      <c r="A358" t="s">
        <v>597</v>
      </c>
      <c r="B358">
        <v>326</v>
      </c>
      <c r="C358" t="s">
        <v>598</v>
      </c>
      <c r="D358" s="10">
        <v>252916.8</v>
      </c>
      <c r="E358" t="s">
        <v>35</v>
      </c>
      <c r="F358" s="10">
        <v>91300</v>
      </c>
      <c r="H358" s="10">
        <v>134700.76999999999</v>
      </c>
      <c r="I358" t="s">
        <v>35</v>
      </c>
      <c r="J358" s="10">
        <v>296317.57</v>
      </c>
      <c r="K358" t="s">
        <v>35</v>
      </c>
      <c r="L358" s="1">
        <f t="shared" si="5"/>
        <v>-296317.57</v>
      </c>
      <c r="N358" s="6" t="str">
        <f>IF(ISERROR(VLOOKUP($A358,'Plano de Contas'!#REF!,8,FALSE)),"",VLOOKUP($A358,'Plano de Contas'!#REF!,8,FALSE))</f>
        <v/>
      </c>
      <c r="P358" s="6" t="str">
        <f>IF(ISERROR(VLOOKUP($A358,'Plano de Contas'!#REF!,10,FALSE)),"",VLOOKUP($A358,'Plano de Contas'!#REF!,10,FALSE))</f>
        <v/>
      </c>
    </row>
    <row r="359" spans="1:16" x14ac:dyDescent="0.25">
      <c r="A359" t="s">
        <v>599</v>
      </c>
      <c r="B359">
        <v>923</v>
      </c>
      <c r="C359" t="s">
        <v>600</v>
      </c>
      <c r="D359" s="10">
        <v>-70997.05</v>
      </c>
      <c r="F359">
        <v>0</v>
      </c>
      <c r="H359" s="10">
        <v>3337.83</v>
      </c>
      <c r="J359" s="10">
        <v>74334.880000000005</v>
      </c>
      <c r="K359" t="s">
        <v>35</v>
      </c>
      <c r="L359" s="1">
        <f t="shared" si="5"/>
        <v>-74334.880000000005</v>
      </c>
      <c r="N359" s="6" t="str">
        <f>IF(ISERROR(VLOOKUP($A359,'Plano de Contas'!#REF!,8,FALSE)),"",VLOOKUP($A359,'Plano de Contas'!#REF!,8,FALSE))</f>
        <v/>
      </c>
      <c r="P359" s="6" t="str">
        <f>IF(ISERROR(VLOOKUP($A359,'Plano de Contas'!#REF!,10,FALSE)),"",VLOOKUP($A359,'Plano de Contas'!#REF!,10,FALSE))</f>
        <v/>
      </c>
    </row>
    <row r="360" spans="1:16" x14ac:dyDescent="0.25">
      <c r="L360" s="1">
        <f t="shared" si="5"/>
        <v>0</v>
      </c>
      <c r="N360" s="6" t="str">
        <f>IF(ISERROR(VLOOKUP($A360,'Plano de Contas'!#REF!,8,FALSE)),"",VLOOKUP($A360,'Plano de Contas'!#REF!,8,FALSE))</f>
        <v/>
      </c>
      <c r="P360" s="6" t="str">
        <f>IF(ISERROR(VLOOKUP($A360,'Plano de Contas'!#REF!,10,FALSE)),"",VLOOKUP($A360,'Plano de Contas'!#REF!,10,FALSE))</f>
        <v/>
      </c>
    </row>
    <row r="361" spans="1:16" x14ac:dyDescent="0.25">
      <c r="A361" t="s">
        <v>601</v>
      </c>
      <c r="B361">
        <v>432</v>
      </c>
      <c r="C361" t="s">
        <v>602</v>
      </c>
      <c r="D361" s="10">
        <v>411601.98</v>
      </c>
      <c r="E361" t="s">
        <v>35</v>
      </c>
      <c r="F361" s="10">
        <v>36211.800000000003</v>
      </c>
      <c r="H361" s="10">
        <v>34083.9</v>
      </c>
      <c r="I361" t="s">
        <v>35</v>
      </c>
      <c r="J361" s="10">
        <v>409474.08</v>
      </c>
      <c r="K361" t="s">
        <v>35</v>
      </c>
      <c r="L361" s="1">
        <f t="shared" si="5"/>
        <v>-409474.08</v>
      </c>
      <c r="N361" s="6" t="str">
        <f>IF(ISERROR(VLOOKUP($A361,'Plano de Contas'!#REF!,8,FALSE)),"",VLOOKUP($A361,'Plano de Contas'!#REF!,8,FALSE))</f>
        <v/>
      </c>
      <c r="P361" s="6" t="str">
        <f>IF(ISERROR(VLOOKUP($A361,'Plano de Contas'!#REF!,10,FALSE)),"",VLOOKUP($A361,'Plano de Contas'!#REF!,10,FALSE))</f>
        <v/>
      </c>
    </row>
    <row r="362" spans="1:16" x14ac:dyDescent="0.25">
      <c r="A362" t="s">
        <v>603</v>
      </c>
      <c r="B362">
        <v>433</v>
      </c>
      <c r="C362" t="s">
        <v>604</v>
      </c>
      <c r="D362" s="10">
        <v>219952.53</v>
      </c>
      <c r="E362" t="s">
        <v>35</v>
      </c>
      <c r="F362" s="10">
        <v>34083.9</v>
      </c>
      <c r="H362" s="10">
        <v>34083.9</v>
      </c>
      <c r="I362" t="s">
        <v>35</v>
      </c>
      <c r="J362" s="10">
        <v>219952.53</v>
      </c>
      <c r="K362" t="s">
        <v>35</v>
      </c>
      <c r="L362" s="1">
        <f t="shared" si="5"/>
        <v>-219952.53</v>
      </c>
      <c r="N362" s="6" t="str">
        <f>IF(ISERROR(VLOOKUP($A362,'Plano de Contas'!#REF!,8,FALSE)),"",VLOOKUP($A362,'Plano de Contas'!#REF!,8,FALSE))</f>
        <v/>
      </c>
      <c r="P362" s="6" t="str">
        <f>IF(ISERROR(VLOOKUP($A362,'Plano de Contas'!#REF!,10,FALSE)),"",VLOOKUP($A362,'Plano de Contas'!#REF!,10,FALSE))</f>
        <v/>
      </c>
    </row>
    <row r="363" spans="1:16" x14ac:dyDescent="0.25">
      <c r="A363" t="s">
        <v>605</v>
      </c>
      <c r="B363">
        <v>669</v>
      </c>
      <c r="C363" t="s">
        <v>606</v>
      </c>
      <c r="D363" s="10">
        <v>189521.55</v>
      </c>
      <c r="E363" t="s">
        <v>35</v>
      </c>
      <c r="F363">
        <v>0</v>
      </c>
      <c r="H363">
        <v>0</v>
      </c>
      <c r="J363" s="10">
        <v>189521.55</v>
      </c>
      <c r="K363" t="s">
        <v>35</v>
      </c>
      <c r="L363" s="1">
        <f t="shared" si="5"/>
        <v>-189521.55</v>
      </c>
      <c r="N363" s="6" t="str">
        <f>IF(ISERROR(VLOOKUP($A363,'Plano de Contas'!#REF!,8,FALSE)),"",VLOOKUP($A363,'Plano de Contas'!#REF!,8,FALSE))</f>
        <v/>
      </c>
      <c r="P363" s="6" t="str">
        <f>IF(ISERROR(VLOOKUP($A363,'Plano de Contas'!#REF!,10,FALSE)),"",VLOOKUP($A363,'Plano de Contas'!#REF!,10,FALSE))</f>
        <v/>
      </c>
    </row>
    <row r="364" spans="1:16" x14ac:dyDescent="0.25">
      <c r="A364" t="s">
        <v>607</v>
      </c>
      <c r="B364">
        <v>967</v>
      </c>
      <c r="C364" t="s">
        <v>235</v>
      </c>
      <c r="D364" s="10">
        <v>2127.9</v>
      </c>
      <c r="E364" t="s">
        <v>35</v>
      </c>
      <c r="F364" s="10">
        <v>2127.9</v>
      </c>
      <c r="H364">
        <v>0</v>
      </c>
      <c r="J364">
        <v>0</v>
      </c>
      <c r="L364" s="1">
        <f t="shared" si="5"/>
        <v>0</v>
      </c>
      <c r="N364" s="6" t="str">
        <f>IF(ISERROR(VLOOKUP($A364,'Plano de Contas'!#REF!,8,FALSE)),"",VLOOKUP($A364,'Plano de Contas'!#REF!,8,FALSE))</f>
        <v/>
      </c>
      <c r="P364" s="6" t="str">
        <f>IF(ISERROR(VLOOKUP($A364,'Plano de Contas'!#REF!,10,FALSE)),"",VLOOKUP($A364,'Plano de Contas'!#REF!,10,FALSE))</f>
        <v/>
      </c>
    </row>
    <row r="365" spans="1:16" x14ac:dyDescent="0.25">
      <c r="L365" s="1">
        <f t="shared" si="5"/>
        <v>0</v>
      </c>
      <c r="N365" s="6" t="str">
        <f>IF(ISERROR(VLOOKUP($A365,'Plano de Contas'!#REF!,8,FALSE)),"",VLOOKUP($A365,'Plano de Contas'!#REF!,8,FALSE))</f>
        <v/>
      </c>
      <c r="P365" s="6" t="str">
        <f>IF(ISERROR(VLOOKUP($A365,'Plano de Contas'!#REF!,10,FALSE)),"",VLOOKUP($A365,'Plano de Contas'!#REF!,10,FALSE))</f>
        <v/>
      </c>
    </row>
    <row r="366" spans="1:16" x14ac:dyDescent="0.25">
      <c r="A366" t="s">
        <v>608</v>
      </c>
      <c r="B366">
        <v>159</v>
      </c>
      <c r="C366" t="s">
        <v>609</v>
      </c>
      <c r="D366" s="10">
        <v>9898791.1500000004</v>
      </c>
      <c r="E366" t="s">
        <v>35</v>
      </c>
      <c r="F366" s="10">
        <v>46677.68</v>
      </c>
      <c r="H366" s="10">
        <v>34640.480000000003</v>
      </c>
      <c r="I366" t="s">
        <v>35</v>
      </c>
      <c r="J366" s="10">
        <v>9886753.9499999993</v>
      </c>
      <c r="K366" t="s">
        <v>35</v>
      </c>
      <c r="L366" s="1">
        <f t="shared" si="5"/>
        <v>-9886753.9499999993</v>
      </c>
      <c r="N366" s="6" t="str">
        <f>IF(ISERROR(VLOOKUP($A366,'Plano de Contas'!#REF!,8,FALSE)),"",VLOOKUP($A366,'Plano de Contas'!#REF!,8,FALSE))</f>
        <v/>
      </c>
      <c r="P366" s="6" t="str">
        <f>IF(ISERROR(VLOOKUP($A366,'Plano de Contas'!#REF!,10,FALSE)),"",VLOOKUP($A366,'Plano de Contas'!#REF!,10,FALSE))</f>
        <v/>
      </c>
    </row>
    <row r="367" spans="1:16" x14ac:dyDescent="0.25">
      <c r="A367" t="s">
        <v>610</v>
      </c>
      <c r="B367">
        <v>160</v>
      </c>
      <c r="C367" t="s">
        <v>611</v>
      </c>
      <c r="D367" s="10">
        <v>-38879.480000000003</v>
      </c>
      <c r="F367">
        <v>0</v>
      </c>
      <c r="H367">
        <v>0</v>
      </c>
      <c r="J367" s="10">
        <v>38879.480000000003</v>
      </c>
      <c r="K367" t="s">
        <v>35</v>
      </c>
      <c r="L367" s="1">
        <f t="shared" si="5"/>
        <v>-38879.480000000003</v>
      </c>
      <c r="N367" s="6" t="str">
        <f>IF(ISERROR(VLOOKUP($A367,'Plano de Contas'!#REF!,8,FALSE)),"",VLOOKUP($A367,'Plano de Contas'!#REF!,8,FALSE))</f>
        <v/>
      </c>
      <c r="P367" s="6" t="str">
        <f>IF(ISERROR(VLOOKUP($A367,'Plano de Contas'!#REF!,10,FALSE)),"",VLOOKUP($A367,'Plano de Contas'!#REF!,10,FALSE))</f>
        <v/>
      </c>
    </row>
    <row r="368" spans="1:16" x14ac:dyDescent="0.25">
      <c r="A368" t="s">
        <v>612</v>
      </c>
      <c r="B368">
        <v>428</v>
      </c>
      <c r="C368" t="s">
        <v>613</v>
      </c>
      <c r="D368">
        <v>122.99</v>
      </c>
      <c r="E368" t="s">
        <v>35</v>
      </c>
      <c r="F368">
        <v>122.99</v>
      </c>
      <c r="H368">
        <v>0</v>
      </c>
      <c r="J368">
        <v>0</v>
      </c>
      <c r="L368" s="1">
        <f t="shared" si="5"/>
        <v>0</v>
      </c>
      <c r="N368" s="6" t="str">
        <f>IF(ISERROR(VLOOKUP($A368,'Plano de Contas'!#REF!,8,FALSE)),"",VLOOKUP($A368,'Plano de Contas'!#REF!,8,FALSE))</f>
        <v/>
      </c>
      <c r="P368" s="6" t="str">
        <f>IF(ISERROR(VLOOKUP($A368,'Plano de Contas'!#REF!,10,FALSE)),"",VLOOKUP($A368,'Plano de Contas'!#REF!,10,FALSE))</f>
        <v/>
      </c>
    </row>
    <row r="369" spans="1:16" x14ac:dyDescent="0.25">
      <c r="A369" t="s">
        <v>614</v>
      </c>
      <c r="B369">
        <v>548</v>
      </c>
      <c r="C369" t="s">
        <v>615</v>
      </c>
      <c r="D369">
        <v>0.34</v>
      </c>
      <c r="E369" t="s">
        <v>35</v>
      </c>
      <c r="F369">
        <v>0.34</v>
      </c>
      <c r="H369">
        <v>0</v>
      </c>
      <c r="J369">
        <v>0</v>
      </c>
      <c r="L369" s="1">
        <f t="shared" si="5"/>
        <v>0</v>
      </c>
      <c r="N369" s="6" t="str">
        <f>IF(ISERROR(VLOOKUP($A369,'Plano de Contas'!#REF!,8,FALSE)),"",VLOOKUP($A369,'Plano de Contas'!#REF!,8,FALSE))</f>
        <v/>
      </c>
      <c r="P369" s="6" t="str">
        <f>IF(ISERROR(VLOOKUP($A369,'Plano de Contas'!#REF!,10,FALSE)),"",VLOOKUP($A369,'Plano de Contas'!#REF!,10,FALSE))</f>
        <v/>
      </c>
    </row>
    <row r="370" spans="1:16" x14ac:dyDescent="0.25">
      <c r="A370" t="s">
        <v>616</v>
      </c>
      <c r="B370">
        <v>640</v>
      </c>
      <c r="C370" t="s">
        <v>617</v>
      </c>
      <c r="D370" s="10">
        <v>912120</v>
      </c>
      <c r="E370" t="s">
        <v>35</v>
      </c>
      <c r="F370">
        <v>0</v>
      </c>
      <c r="H370">
        <v>0</v>
      </c>
      <c r="J370" s="10">
        <v>912120</v>
      </c>
      <c r="K370" t="s">
        <v>35</v>
      </c>
      <c r="L370" s="1">
        <f t="shared" si="5"/>
        <v>-912120</v>
      </c>
      <c r="N370" s="6" t="str">
        <f>IF(ISERROR(VLOOKUP($A370,'Plano de Contas'!#REF!,8,FALSE)),"",VLOOKUP($A370,'Plano de Contas'!#REF!,8,FALSE))</f>
        <v/>
      </c>
      <c r="P370" s="6" t="str">
        <f>IF(ISERROR(VLOOKUP($A370,'Plano de Contas'!#REF!,10,FALSE)),"",VLOOKUP($A370,'Plano de Contas'!#REF!,10,FALSE))</f>
        <v/>
      </c>
    </row>
    <row r="371" spans="1:16" x14ac:dyDescent="0.25">
      <c r="A371" t="s">
        <v>618</v>
      </c>
      <c r="B371">
        <v>722</v>
      </c>
      <c r="C371" t="s">
        <v>619</v>
      </c>
      <c r="D371" s="10">
        <v>11913.87</v>
      </c>
      <c r="E371" t="s">
        <v>35</v>
      </c>
      <c r="F371" s="10">
        <v>46554.35</v>
      </c>
      <c r="H371" s="10">
        <v>34640.480000000003</v>
      </c>
      <c r="I371" t="s">
        <v>35</v>
      </c>
      <c r="J371">
        <v>0</v>
      </c>
      <c r="L371" s="1">
        <f t="shared" si="5"/>
        <v>0</v>
      </c>
      <c r="N371" s="6" t="str">
        <f>IF(ISERROR(VLOOKUP($A371,'Plano de Contas'!#REF!,8,FALSE)),"",VLOOKUP($A371,'Plano de Contas'!#REF!,8,FALSE))</f>
        <v/>
      </c>
      <c r="P371" s="6" t="str">
        <f>IF(ISERROR(VLOOKUP($A371,'Plano de Contas'!#REF!,10,FALSE)),"",VLOOKUP($A371,'Plano de Contas'!#REF!,10,FALSE))</f>
        <v/>
      </c>
    </row>
    <row r="372" spans="1:16" x14ac:dyDescent="0.25">
      <c r="A372" t="s">
        <v>1050</v>
      </c>
      <c r="B372">
        <v>994</v>
      </c>
      <c r="C372" t="s">
        <v>1051</v>
      </c>
      <c r="D372" s="10">
        <v>8935754.4700000007</v>
      </c>
      <c r="E372" t="s">
        <v>35</v>
      </c>
      <c r="F372">
        <v>0</v>
      </c>
      <c r="H372">
        <v>0</v>
      </c>
      <c r="J372" s="10">
        <v>8935754.4700000007</v>
      </c>
      <c r="K372" t="s">
        <v>35</v>
      </c>
      <c r="L372" s="1">
        <f t="shared" si="5"/>
        <v>-8935754.4700000007</v>
      </c>
      <c r="N372" s="6" t="str">
        <f>IF(ISERROR(VLOOKUP($A372,'Plano de Contas'!#REF!,8,FALSE)),"",VLOOKUP($A372,'Plano de Contas'!#REF!,8,FALSE))</f>
        <v/>
      </c>
      <c r="P372" s="6" t="str">
        <f>IF(ISERROR(VLOOKUP($A372,'Plano de Contas'!#REF!,10,FALSE)),"",VLOOKUP($A372,'Plano de Contas'!#REF!,10,FALSE))</f>
        <v/>
      </c>
    </row>
    <row r="373" spans="1:16" x14ac:dyDescent="0.25">
      <c r="L373" s="1">
        <f t="shared" si="5"/>
        <v>0</v>
      </c>
      <c r="N373" s="6" t="str">
        <f>IF(ISERROR(VLOOKUP($A373,'Plano de Contas'!#REF!,8,FALSE)),"",VLOOKUP($A373,'Plano de Contas'!#REF!,8,FALSE))</f>
        <v/>
      </c>
      <c r="P373" s="6" t="str">
        <f>IF(ISERROR(VLOOKUP($A373,'Plano de Contas'!#REF!,10,FALSE)),"",VLOOKUP($A373,'Plano de Contas'!#REF!,10,FALSE))</f>
        <v/>
      </c>
    </row>
    <row r="374" spans="1:16" x14ac:dyDescent="0.25">
      <c r="A374" t="s">
        <v>620</v>
      </c>
      <c r="B374">
        <v>619</v>
      </c>
      <c r="C374" t="s">
        <v>621</v>
      </c>
      <c r="D374" s="10">
        <v>8513522.2699999996</v>
      </c>
      <c r="E374" t="s">
        <v>35</v>
      </c>
      <c r="F374">
        <v>0</v>
      </c>
      <c r="H374">
        <v>0</v>
      </c>
      <c r="J374" s="10">
        <v>8513522.2699999996</v>
      </c>
      <c r="K374" t="s">
        <v>35</v>
      </c>
      <c r="L374" s="1">
        <f t="shared" si="5"/>
        <v>-8513522.2699999996</v>
      </c>
      <c r="N374" s="6" t="str">
        <f>IF(ISERROR(VLOOKUP($A374,'Plano de Contas'!#REF!,8,FALSE)),"",VLOOKUP($A374,'Plano de Contas'!#REF!,8,FALSE))</f>
        <v/>
      </c>
      <c r="P374" s="6" t="str">
        <f>IF(ISERROR(VLOOKUP($A374,'Plano de Contas'!#REF!,10,FALSE)),"",VLOOKUP($A374,'Plano de Contas'!#REF!,10,FALSE))</f>
        <v/>
      </c>
    </row>
    <row r="375" spans="1:16" x14ac:dyDescent="0.25">
      <c r="A375" t="s">
        <v>622</v>
      </c>
      <c r="B375">
        <v>620</v>
      </c>
      <c r="C375" t="s">
        <v>623</v>
      </c>
      <c r="D375" s="10">
        <v>8513522.2699999996</v>
      </c>
      <c r="E375" t="s">
        <v>35</v>
      </c>
      <c r="F375">
        <v>0</v>
      </c>
      <c r="H375">
        <v>0</v>
      </c>
      <c r="J375" s="10">
        <v>8513522.2699999996</v>
      </c>
      <c r="K375" t="s">
        <v>35</v>
      </c>
      <c r="L375" s="1">
        <f t="shared" si="5"/>
        <v>-8513522.2699999996</v>
      </c>
      <c r="N375" s="6" t="str">
        <f>IF(ISERROR(VLOOKUP($A375,'Plano de Contas'!#REF!,8,FALSE)),"",VLOOKUP($A375,'Plano de Contas'!#REF!,8,FALSE))</f>
        <v/>
      </c>
      <c r="P375" s="6" t="str">
        <f>IF(ISERROR(VLOOKUP($A375,'Plano de Contas'!#REF!,10,FALSE)),"",VLOOKUP($A375,'Plano de Contas'!#REF!,10,FALSE))</f>
        <v/>
      </c>
    </row>
    <row r="376" spans="1:16" x14ac:dyDescent="0.25">
      <c r="L376" s="1">
        <f t="shared" si="5"/>
        <v>0</v>
      </c>
      <c r="N376" s="6" t="str">
        <f>IF(ISERROR(VLOOKUP($A376,'Plano de Contas'!#REF!,8,FALSE)),"",VLOOKUP($A376,'Plano de Contas'!#REF!,8,FALSE))</f>
        <v/>
      </c>
      <c r="P376" s="6" t="str">
        <f>IF(ISERROR(VLOOKUP($A376,'Plano de Contas'!#REF!,10,FALSE)),"",VLOOKUP($A376,'Plano de Contas'!#REF!,10,FALSE))</f>
        <v/>
      </c>
    </row>
    <row r="377" spans="1:16" x14ac:dyDescent="0.25">
      <c r="A377" t="s">
        <v>624</v>
      </c>
      <c r="B377">
        <v>161</v>
      </c>
      <c r="C377" t="s">
        <v>625</v>
      </c>
      <c r="D377" s="10">
        <v>1484349986.1500001</v>
      </c>
      <c r="E377" t="s">
        <v>35</v>
      </c>
      <c r="F377" s="10">
        <v>42045671.329999998</v>
      </c>
      <c r="H377" s="10">
        <v>43242642.670000002</v>
      </c>
      <c r="I377" t="s">
        <v>35</v>
      </c>
      <c r="J377" s="10">
        <v>1485546957.49</v>
      </c>
      <c r="K377" t="s">
        <v>35</v>
      </c>
      <c r="L377" s="1">
        <f t="shared" si="5"/>
        <v>-1485546957.49</v>
      </c>
      <c r="N377" s="6" t="str">
        <f>IF(ISERROR(VLOOKUP($A377,'Plano de Contas'!#REF!,8,FALSE)),"",VLOOKUP($A377,'Plano de Contas'!#REF!,8,FALSE))</f>
        <v/>
      </c>
      <c r="P377" s="6" t="str">
        <f>IF(ISERROR(VLOOKUP($A377,'Plano de Contas'!#REF!,10,FALSE)),"",VLOOKUP($A377,'Plano de Contas'!#REF!,10,FALSE))</f>
        <v/>
      </c>
    </row>
    <row r="378" spans="1:16" x14ac:dyDescent="0.25">
      <c r="L378" s="1">
        <f t="shared" si="5"/>
        <v>0</v>
      </c>
      <c r="N378" s="6" t="str">
        <f>IF(ISERROR(VLOOKUP($A378,'Plano de Contas'!#REF!,8,FALSE)),"",VLOOKUP($A378,'Plano de Contas'!#REF!,8,FALSE))</f>
        <v/>
      </c>
      <c r="P378" s="6" t="str">
        <f>IF(ISERROR(VLOOKUP($A378,'Plano de Contas'!#REF!,10,FALSE)),"",VLOOKUP($A378,'Plano de Contas'!#REF!,10,FALSE))</f>
        <v/>
      </c>
    </row>
    <row r="379" spans="1:16" x14ac:dyDescent="0.25">
      <c r="A379" t="s">
        <v>626</v>
      </c>
      <c r="B379">
        <v>162</v>
      </c>
      <c r="C379" t="s">
        <v>627</v>
      </c>
      <c r="D379" s="10">
        <v>1484349986.1500001</v>
      </c>
      <c r="E379" t="s">
        <v>35</v>
      </c>
      <c r="F379" s="10">
        <v>42045671.329999998</v>
      </c>
      <c r="H379" s="10">
        <v>43242642.670000002</v>
      </c>
      <c r="I379" t="s">
        <v>35</v>
      </c>
      <c r="J379" s="10">
        <v>1485546957.49</v>
      </c>
      <c r="K379" t="s">
        <v>35</v>
      </c>
      <c r="L379" s="1">
        <f t="shared" si="5"/>
        <v>-1485546957.49</v>
      </c>
      <c r="N379" s="6" t="str">
        <f>IF(ISERROR(VLOOKUP($A379,'Plano de Contas'!#REF!,8,FALSE)),"",VLOOKUP($A379,'Plano de Contas'!#REF!,8,FALSE))</f>
        <v/>
      </c>
      <c r="P379" s="6" t="str">
        <f>IF(ISERROR(VLOOKUP($A379,'Plano de Contas'!#REF!,10,FALSE)),"",VLOOKUP($A379,'Plano de Contas'!#REF!,10,FALSE))</f>
        <v/>
      </c>
    </row>
    <row r="380" spans="1:16" x14ac:dyDescent="0.25">
      <c r="L380" s="1">
        <f t="shared" si="5"/>
        <v>0</v>
      </c>
      <c r="N380" s="6" t="str">
        <f>IF(ISERROR(VLOOKUP($A380,'Plano de Contas'!#REF!,8,FALSE)),"",VLOOKUP($A380,'Plano de Contas'!#REF!,8,FALSE))</f>
        <v/>
      </c>
      <c r="P380" s="6" t="str">
        <f>IF(ISERROR(VLOOKUP($A380,'Plano de Contas'!#REF!,10,FALSE)),"",VLOOKUP($A380,'Plano de Contas'!#REF!,10,FALSE))</f>
        <v/>
      </c>
    </row>
    <row r="381" spans="1:16" x14ac:dyDescent="0.25">
      <c r="A381" t="s">
        <v>631</v>
      </c>
      <c r="B381">
        <v>581</v>
      </c>
      <c r="C381" t="s">
        <v>632</v>
      </c>
      <c r="D381" s="10">
        <v>459530846.97000003</v>
      </c>
      <c r="E381" t="s">
        <v>35</v>
      </c>
      <c r="F381" s="10">
        <v>76154.31</v>
      </c>
      <c r="H381" s="10">
        <v>1273539.6499999999</v>
      </c>
      <c r="I381" t="s">
        <v>35</v>
      </c>
      <c r="J381" s="10">
        <v>460728232.31</v>
      </c>
      <c r="K381" t="s">
        <v>35</v>
      </c>
      <c r="L381" s="1">
        <f t="shared" si="5"/>
        <v>-460728232.31</v>
      </c>
      <c r="N381" s="6" t="str">
        <f>IF(ISERROR(VLOOKUP($A381,'Plano de Contas'!#REF!,8,FALSE)),"",VLOOKUP($A381,'Plano de Contas'!#REF!,8,FALSE))</f>
        <v/>
      </c>
      <c r="P381" s="6" t="str">
        <f>IF(ISERROR(VLOOKUP($A381,'Plano de Contas'!#REF!,10,FALSE)),"",VLOOKUP($A381,'Plano de Contas'!#REF!,10,FALSE))</f>
        <v/>
      </c>
    </row>
    <row r="382" spans="1:16" x14ac:dyDescent="0.25">
      <c r="A382" t="s">
        <v>633</v>
      </c>
      <c r="B382">
        <v>634</v>
      </c>
      <c r="C382" t="s">
        <v>634</v>
      </c>
      <c r="D382" s="10">
        <v>459530846.97000003</v>
      </c>
      <c r="E382" t="s">
        <v>35</v>
      </c>
      <c r="F382" s="10">
        <v>76154.31</v>
      </c>
      <c r="H382" s="10">
        <v>1273539.6499999999</v>
      </c>
      <c r="I382" t="s">
        <v>35</v>
      </c>
      <c r="J382" s="10">
        <v>460728232.31</v>
      </c>
      <c r="K382" t="s">
        <v>35</v>
      </c>
      <c r="L382" s="1">
        <f t="shared" si="5"/>
        <v>-460728232.31</v>
      </c>
      <c r="N382" s="6" t="str">
        <f>IF(ISERROR(VLOOKUP($A382,'Plano de Contas'!#REF!,8,FALSE)),"",VLOOKUP($A382,'Plano de Contas'!#REF!,8,FALSE))</f>
        <v/>
      </c>
      <c r="P382" s="6" t="str">
        <f>IF(ISERROR(VLOOKUP($A382,'Plano de Contas'!#REF!,10,FALSE)),"",VLOOKUP($A382,'Plano de Contas'!#REF!,10,FALSE))</f>
        <v/>
      </c>
    </row>
    <row r="383" spans="1:16" x14ac:dyDescent="0.25">
      <c r="L383" s="1">
        <f t="shared" si="5"/>
        <v>0</v>
      </c>
      <c r="N383" s="6" t="str">
        <f>IF(ISERROR(VLOOKUP($A383,'Plano de Contas'!#REF!,8,FALSE)),"",VLOOKUP($A383,'Plano de Contas'!#REF!,8,FALSE))</f>
        <v/>
      </c>
      <c r="P383" s="6" t="str">
        <f>IF(ISERROR(VLOOKUP($A383,'Plano de Contas'!#REF!,10,FALSE)),"",VLOOKUP($A383,'Plano de Contas'!#REF!,10,FALSE))</f>
        <v/>
      </c>
    </row>
    <row r="384" spans="1:16" x14ac:dyDescent="0.25">
      <c r="A384" t="s">
        <v>635</v>
      </c>
      <c r="B384">
        <v>613</v>
      </c>
      <c r="C384" t="s">
        <v>636</v>
      </c>
      <c r="D384" s="10">
        <v>647883433.89999998</v>
      </c>
      <c r="E384" t="s">
        <v>35</v>
      </c>
      <c r="F384">
        <v>0</v>
      </c>
      <c r="H384">
        <v>0</v>
      </c>
      <c r="J384" s="10">
        <v>647883433.89999998</v>
      </c>
      <c r="K384" t="s">
        <v>35</v>
      </c>
      <c r="L384" s="1">
        <f t="shared" si="5"/>
        <v>-647883433.89999998</v>
      </c>
      <c r="N384" s="6" t="str">
        <f>IF(ISERROR(VLOOKUP($A384,'Plano de Contas'!#REF!,8,FALSE)),"",VLOOKUP($A384,'Plano de Contas'!#REF!,8,FALSE))</f>
        <v/>
      </c>
      <c r="P384" s="6" t="str">
        <f>IF(ISERROR(VLOOKUP($A384,'Plano de Contas'!#REF!,10,FALSE)),"",VLOOKUP($A384,'Plano de Contas'!#REF!,10,FALSE))</f>
        <v/>
      </c>
    </row>
    <row r="385" spans="1:16" x14ac:dyDescent="0.25">
      <c r="A385" t="s">
        <v>637</v>
      </c>
      <c r="B385">
        <v>614</v>
      </c>
      <c r="C385" t="s">
        <v>638</v>
      </c>
      <c r="D385" s="10">
        <v>647883433.89999998</v>
      </c>
      <c r="E385" t="s">
        <v>35</v>
      </c>
      <c r="F385">
        <v>0</v>
      </c>
      <c r="H385">
        <v>0</v>
      </c>
      <c r="J385" s="10">
        <v>647883433.89999998</v>
      </c>
      <c r="K385" t="s">
        <v>35</v>
      </c>
      <c r="L385" s="1">
        <f t="shared" si="5"/>
        <v>-647883433.89999998</v>
      </c>
      <c r="N385" s="6" t="str">
        <f>IF(ISERROR(VLOOKUP($A385,'Plano de Contas'!#REF!,8,FALSE)),"",VLOOKUP($A385,'Plano de Contas'!#REF!,8,FALSE))</f>
        <v/>
      </c>
      <c r="P385" s="6" t="str">
        <f>IF(ISERROR(VLOOKUP($A385,'Plano de Contas'!#REF!,10,FALSE)),"",VLOOKUP($A385,'Plano de Contas'!#REF!,10,FALSE))</f>
        <v/>
      </c>
    </row>
    <row r="386" spans="1:16" x14ac:dyDescent="0.25">
      <c r="L386" s="1">
        <f t="shared" si="5"/>
        <v>0</v>
      </c>
      <c r="N386" s="6" t="str">
        <f>IF(ISERROR(VLOOKUP($A386,'Plano de Contas'!#REF!,8,FALSE)),"",VLOOKUP($A386,'Plano de Contas'!#REF!,8,FALSE))</f>
        <v/>
      </c>
      <c r="P386" s="6" t="str">
        <f>IF(ISERROR(VLOOKUP($A386,'Plano de Contas'!#REF!,10,FALSE)),"",VLOOKUP($A386,'Plano de Contas'!#REF!,10,FALSE))</f>
        <v/>
      </c>
    </row>
    <row r="387" spans="1:16" x14ac:dyDescent="0.25">
      <c r="A387" t="s">
        <v>639</v>
      </c>
      <c r="B387">
        <v>165</v>
      </c>
      <c r="C387" t="s">
        <v>609</v>
      </c>
      <c r="D387" s="10">
        <v>53493284.670000002</v>
      </c>
      <c r="E387" t="s">
        <v>35</v>
      </c>
      <c r="F387" s="10">
        <v>41969103.020000003</v>
      </c>
      <c r="H387">
        <v>0</v>
      </c>
      <c r="J387" s="10">
        <v>11524181.65</v>
      </c>
      <c r="K387" t="s">
        <v>35</v>
      </c>
      <c r="L387" s="1">
        <f t="shared" si="5"/>
        <v>-11524181.65</v>
      </c>
      <c r="N387" s="6" t="str">
        <f>IF(ISERROR(VLOOKUP($A387,'Plano de Contas'!#REF!,8,FALSE)),"",VLOOKUP($A387,'Plano de Contas'!#REF!,8,FALSE))</f>
        <v/>
      </c>
      <c r="P387" s="6" t="str">
        <f>IF(ISERROR(VLOOKUP($A387,'Plano de Contas'!#REF!,10,FALSE)),"",VLOOKUP($A387,'Plano de Contas'!#REF!,10,FALSE))</f>
        <v/>
      </c>
    </row>
    <row r="388" spans="1:16" x14ac:dyDescent="0.25">
      <c r="A388" t="s">
        <v>640</v>
      </c>
      <c r="B388">
        <v>328</v>
      </c>
      <c r="C388" t="s">
        <v>641</v>
      </c>
      <c r="D388" s="10">
        <v>11524181.65</v>
      </c>
      <c r="E388" t="s">
        <v>35</v>
      </c>
      <c r="F388">
        <v>0</v>
      </c>
      <c r="H388">
        <v>0</v>
      </c>
      <c r="J388" s="10">
        <v>11524181.65</v>
      </c>
      <c r="K388" t="s">
        <v>35</v>
      </c>
      <c r="L388" s="1">
        <f t="shared" si="5"/>
        <v>-11524181.65</v>
      </c>
      <c r="N388" s="6" t="str">
        <f>IF(ISERROR(VLOOKUP($A388,'Plano de Contas'!#REF!,8,FALSE)),"",VLOOKUP($A388,'Plano de Contas'!#REF!,8,FALSE))</f>
        <v/>
      </c>
      <c r="P388" s="6" t="str">
        <f>IF(ISERROR(VLOOKUP($A388,'Plano de Contas'!#REF!,10,FALSE)),"",VLOOKUP($A388,'Plano de Contas'!#REF!,10,FALSE))</f>
        <v/>
      </c>
    </row>
    <row r="389" spans="1:16" x14ac:dyDescent="0.25">
      <c r="A389" t="s">
        <v>642</v>
      </c>
      <c r="B389">
        <v>970</v>
      </c>
      <c r="C389" t="s">
        <v>643</v>
      </c>
      <c r="D389" s="10">
        <v>41969103.020000003</v>
      </c>
      <c r="E389" t="s">
        <v>35</v>
      </c>
      <c r="F389" s="10">
        <v>41969103.020000003</v>
      </c>
      <c r="H389">
        <v>0</v>
      </c>
      <c r="J389">
        <v>0</v>
      </c>
      <c r="L389" s="1">
        <f t="shared" si="5"/>
        <v>0</v>
      </c>
      <c r="N389" s="6" t="str">
        <f>IF(ISERROR(VLOOKUP($A389,'Plano de Contas'!#REF!,8,FALSE)),"",VLOOKUP($A389,'Plano de Contas'!#REF!,8,FALSE))</f>
        <v/>
      </c>
      <c r="P389" s="6" t="str">
        <f>IF(ISERROR(VLOOKUP($A389,'Plano de Contas'!#REF!,10,FALSE)),"",VLOOKUP($A389,'Plano de Contas'!#REF!,10,FALSE))</f>
        <v/>
      </c>
    </row>
    <row r="390" spans="1:16" x14ac:dyDescent="0.25">
      <c r="L390" s="1">
        <f t="shared" si="5"/>
        <v>0</v>
      </c>
      <c r="N390" s="6" t="str">
        <f>IF(ISERROR(VLOOKUP($A390,'Plano de Contas'!#REF!,8,FALSE)),"",VLOOKUP($A390,'Plano de Contas'!#REF!,8,FALSE))</f>
        <v/>
      </c>
      <c r="P390" s="6" t="str">
        <f>IF(ISERROR(VLOOKUP($A390,'Plano de Contas'!#REF!,10,FALSE)),"",VLOOKUP($A390,'Plano de Contas'!#REF!,10,FALSE))</f>
        <v/>
      </c>
    </row>
    <row r="391" spans="1:16" x14ac:dyDescent="0.25">
      <c r="A391" t="s">
        <v>644</v>
      </c>
      <c r="B391">
        <v>472</v>
      </c>
      <c r="C391" t="s">
        <v>645</v>
      </c>
      <c r="D391">
        <v>414</v>
      </c>
      <c r="E391" t="s">
        <v>35</v>
      </c>
      <c r="F391">
        <v>414</v>
      </c>
      <c r="H391">
        <v>0</v>
      </c>
      <c r="J391">
        <v>0</v>
      </c>
      <c r="L391" s="1">
        <f t="shared" si="5"/>
        <v>0</v>
      </c>
      <c r="N391" s="6" t="str">
        <f>IF(ISERROR(VLOOKUP($A391,'Plano de Contas'!#REF!,8,FALSE)),"",VLOOKUP($A391,'Plano de Contas'!#REF!,8,FALSE))</f>
        <v/>
      </c>
      <c r="P391" s="6" t="str">
        <f>IF(ISERROR(VLOOKUP($A391,'Plano de Contas'!#REF!,10,FALSE)),"",VLOOKUP($A391,'Plano de Contas'!#REF!,10,FALSE))</f>
        <v/>
      </c>
    </row>
    <row r="392" spans="1:16" x14ac:dyDescent="0.25">
      <c r="A392" t="s">
        <v>646</v>
      </c>
      <c r="B392">
        <v>564</v>
      </c>
      <c r="C392" t="s">
        <v>647</v>
      </c>
      <c r="D392">
        <v>414</v>
      </c>
      <c r="E392" t="s">
        <v>35</v>
      </c>
      <c r="F392">
        <v>414</v>
      </c>
      <c r="H392">
        <v>0</v>
      </c>
      <c r="J392">
        <v>0</v>
      </c>
      <c r="L392" s="1">
        <f t="shared" ref="L392:L455" si="6">IF(K392="-",-J392,J392)</f>
        <v>0</v>
      </c>
      <c r="N392" s="6" t="str">
        <f>IF(ISERROR(VLOOKUP($A392,'Plano de Contas'!#REF!,8,FALSE)),"",VLOOKUP($A392,'Plano de Contas'!#REF!,8,FALSE))</f>
        <v/>
      </c>
      <c r="P392" s="6" t="str">
        <f>IF(ISERROR(VLOOKUP($A392,'Plano de Contas'!#REF!,10,FALSE)),"",VLOOKUP($A392,'Plano de Contas'!#REF!,10,FALSE))</f>
        <v/>
      </c>
    </row>
    <row r="393" spans="1:16" x14ac:dyDescent="0.25">
      <c r="L393" s="1">
        <f t="shared" si="6"/>
        <v>0</v>
      </c>
      <c r="N393" s="6" t="str">
        <f>IF(ISERROR(VLOOKUP($A393,'Plano de Contas'!#REF!,8,FALSE)),"",VLOOKUP($A393,'Plano de Contas'!#REF!,8,FALSE))</f>
        <v/>
      </c>
      <c r="P393" s="6" t="str">
        <f>IF(ISERROR(VLOOKUP($A393,'Plano de Contas'!#REF!,10,FALSE)),"",VLOOKUP($A393,'Plano de Contas'!#REF!,10,FALSE))</f>
        <v/>
      </c>
    </row>
    <row r="394" spans="1:16" x14ac:dyDescent="0.25">
      <c r="A394" t="s">
        <v>648</v>
      </c>
      <c r="B394">
        <v>906</v>
      </c>
      <c r="C394" t="s">
        <v>649</v>
      </c>
      <c r="D394" s="10">
        <v>323442006.61000001</v>
      </c>
      <c r="E394" t="s">
        <v>35</v>
      </c>
      <c r="F394">
        <v>0</v>
      </c>
      <c r="H394" s="10">
        <v>41969103.020000003</v>
      </c>
      <c r="I394" t="s">
        <v>35</v>
      </c>
      <c r="J394" s="10">
        <v>365411109.63</v>
      </c>
      <c r="K394" t="s">
        <v>35</v>
      </c>
      <c r="L394" s="1">
        <f t="shared" si="6"/>
        <v>-365411109.63</v>
      </c>
      <c r="N394" s="6" t="str">
        <f>IF(ISERROR(VLOOKUP($A394,'Plano de Contas'!#REF!,8,FALSE)),"",VLOOKUP($A394,'Plano de Contas'!#REF!,8,FALSE))</f>
        <v/>
      </c>
      <c r="P394" s="6" t="str">
        <f>IF(ISERROR(VLOOKUP($A394,'Plano de Contas'!#REF!,10,FALSE)),"",VLOOKUP($A394,'Plano de Contas'!#REF!,10,FALSE))</f>
        <v/>
      </c>
    </row>
    <row r="395" spans="1:16" x14ac:dyDescent="0.25">
      <c r="A395" t="s">
        <v>650</v>
      </c>
      <c r="B395">
        <v>907</v>
      </c>
      <c r="C395" t="s">
        <v>651</v>
      </c>
      <c r="D395" s="10">
        <v>323442006.61000001</v>
      </c>
      <c r="E395" t="s">
        <v>35</v>
      </c>
      <c r="F395">
        <v>0</v>
      </c>
      <c r="H395">
        <v>0</v>
      </c>
      <c r="J395" s="10">
        <v>323442006.61000001</v>
      </c>
      <c r="K395" t="s">
        <v>35</v>
      </c>
      <c r="L395" s="1">
        <f t="shared" si="6"/>
        <v>-323442006.61000001</v>
      </c>
      <c r="N395" s="6" t="str">
        <f>IF(ISERROR(VLOOKUP($A395,'Plano de Contas'!#REF!,8,FALSE)),"",VLOOKUP($A395,'Plano de Contas'!#REF!,8,FALSE))</f>
        <v/>
      </c>
      <c r="P395" s="6" t="str">
        <f>IF(ISERROR(VLOOKUP($A395,'Plano de Contas'!#REF!,10,FALSE)),"",VLOOKUP($A395,'Plano de Contas'!#REF!,10,FALSE))</f>
        <v/>
      </c>
    </row>
    <row r="396" spans="1:16" x14ac:dyDescent="0.25">
      <c r="A396" t="s">
        <v>1052</v>
      </c>
      <c r="B396">
        <v>1045</v>
      </c>
      <c r="C396" t="s">
        <v>1053</v>
      </c>
      <c r="D396">
        <v>0</v>
      </c>
      <c r="F396">
        <v>0</v>
      </c>
      <c r="H396" s="10">
        <v>41969103.020000003</v>
      </c>
      <c r="J396" s="10">
        <v>41969103.020000003</v>
      </c>
      <c r="K396" t="s">
        <v>35</v>
      </c>
      <c r="L396" s="1">
        <f t="shared" si="6"/>
        <v>-41969103.020000003</v>
      </c>
      <c r="N396" s="6" t="str">
        <f>IF(ISERROR(VLOOKUP($A396,'Plano de Contas'!#REF!,8,FALSE)),"",VLOOKUP($A396,'Plano de Contas'!#REF!,8,FALSE))</f>
        <v/>
      </c>
      <c r="P396" s="6" t="str">
        <f>IF(ISERROR(VLOOKUP($A396,'Plano de Contas'!#REF!,10,FALSE)),"",VLOOKUP($A396,'Plano de Contas'!#REF!,10,FALSE))</f>
        <v/>
      </c>
    </row>
    <row r="397" spans="1:16" x14ac:dyDescent="0.25">
      <c r="L397" s="1">
        <f t="shared" si="6"/>
        <v>0</v>
      </c>
      <c r="N397" s="6" t="str">
        <f>IF(ISERROR(VLOOKUP($A397,'Plano de Contas'!#REF!,8,FALSE)),"",VLOOKUP($A397,'Plano de Contas'!#REF!,8,FALSE))</f>
        <v/>
      </c>
      <c r="P397" s="6" t="str">
        <f>IF(ISERROR(VLOOKUP($A397,'Plano de Contas'!#REF!,10,FALSE)),"",VLOOKUP($A397,'Plano de Contas'!#REF!,10,FALSE))</f>
        <v/>
      </c>
    </row>
    <row r="398" spans="1:16" x14ac:dyDescent="0.25">
      <c r="A398" t="s">
        <v>652</v>
      </c>
      <c r="B398">
        <v>168</v>
      </c>
      <c r="C398" t="s">
        <v>653</v>
      </c>
      <c r="D398" s="10">
        <v>1394468165.75</v>
      </c>
      <c r="E398" t="s">
        <v>35</v>
      </c>
      <c r="F398">
        <v>0</v>
      </c>
      <c r="H398" s="10">
        <v>2182122013.6199999</v>
      </c>
      <c r="I398" t="s">
        <v>35</v>
      </c>
      <c r="J398" s="10">
        <v>3576590179.3699999</v>
      </c>
      <c r="K398" t="s">
        <v>35</v>
      </c>
      <c r="L398" s="1">
        <f t="shared" si="6"/>
        <v>-3576590179.3699999</v>
      </c>
      <c r="N398" s="6" t="str">
        <f>IF(ISERROR(VLOOKUP($A398,'Plano de Contas'!#REF!,8,FALSE)),"",VLOOKUP($A398,'Plano de Contas'!#REF!,8,FALSE))</f>
        <v/>
      </c>
      <c r="P398" s="6" t="str">
        <f>IF(ISERROR(VLOOKUP($A398,'Plano de Contas'!#REF!,10,FALSE)),"",VLOOKUP($A398,'Plano de Contas'!#REF!,10,FALSE))</f>
        <v/>
      </c>
    </row>
    <row r="399" spans="1:16" x14ac:dyDescent="0.25">
      <c r="L399" s="1">
        <f t="shared" si="6"/>
        <v>0</v>
      </c>
      <c r="N399" s="6" t="str">
        <f>IF(ISERROR(VLOOKUP($A399,'Plano de Contas'!#REF!,8,FALSE)),"",VLOOKUP($A399,'Plano de Contas'!#REF!,8,FALSE))</f>
        <v/>
      </c>
      <c r="P399" s="6" t="str">
        <f>IF(ISERROR(VLOOKUP($A399,'Plano de Contas'!#REF!,10,FALSE)),"",VLOOKUP($A399,'Plano de Contas'!#REF!,10,FALSE))</f>
        <v/>
      </c>
    </row>
    <row r="400" spans="1:16" x14ac:dyDescent="0.25">
      <c r="A400" t="s">
        <v>654</v>
      </c>
      <c r="B400">
        <v>169</v>
      </c>
      <c r="C400" t="s">
        <v>655</v>
      </c>
      <c r="D400" s="10">
        <v>1264756683.5599999</v>
      </c>
      <c r="E400" t="s">
        <v>35</v>
      </c>
      <c r="F400">
        <v>0</v>
      </c>
      <c r="H400">
        <v>0</v>
      </c>
      <c r="J400" s="10">
        <v>1264756683.5599999</v>
      </c>
      <c r="K400" t="s">
        <v>35</v>
      </c>
      <c r="L400" s="1">
        <f t="shared" si="6"/>
        <v>-1264756683.5599999</v>
      </c>
      <c r="N400" s="6" t="str">
        <f>IF(ISERROR(VLOOKUP($A400,'Plano de Contas'!#REF!,8,FALSE)),"",VLOOKUP($A400,'Plano de Contas'!#REF!,8,FALSE))</f>
        <v/>
      </c>
      <c r="P400" s="6" t="str">
        <f>IF(ISERROR(VLOOKUP($A400,'Plano de Contas'!#REF!,10,FALSE)),"",VLOOKUP($A400,'Plano de Contas'!#REF!,10,FALSE))</f>
        <v/>
      </c>
    </row>
    <row r="401" spans="1:16" x14ac:dyDescent="0.25">
      <c r="L401" s="1">
        <f t="shared" si="6"/>
        <v>0</v>
      </c>
      <c r="N401" s="6" t="str">
        <f>IF(ISERROR(VLOOKUP($A401,'Plano de Contas'!#REF!,8,FALSE)),"",VLOOKUP($A401,'Plano de Contas'!#REF!,8,FALSE))</f>
        <v/>
      </c>
      <c r="P401" s="6" t="str">
        <f>IF(ISERROR(VLOOKUP($A401,'Plano de Contas'!#REF!,10,FALSE)),"",VLOOKUP($A401,'Plano de Contas'!#REF!,10,FALSE))</f>
        <v/>
      </c>
    </row>
    <row r="402" spans="1:16" x14ac:dyDescent="0.25">
      <c r="A402" t="s">
        <v>656</v>
      </c>
      <c r="B402">
        <v>170</v>
      </c>
      <c r="C402" t="s">
        <v>657</v>
      </c>
      <c r="D402" s="10">
        <v>1264756683.5599999</v>
      </c>
      <c r="E402" t="s">
        <v>35</v>
      </c>
      <c r="F402">
        <v>0</v>
      </c>
      <c r="H402">
        <v>0</v>
      </c>
      <c r="J402" s="10">
        <v>1264756683.5599999</v>
      </c>
      <c r="K402" t="s">
        <v>35</v>
      </c>
      <c r="L402" s="1">
        <f t="shared" si="6"/>
        <v>-1264756683.5599999</v>
      </c>
      <c r="N402" s="6" t="str">
        <f>IF(ISERROR(VLOOKUP($A402,'Plano de Contas'!#REF!,8,FALSE)),"",VLOOKUP($A402,'Plano de Contas'!#REF!,8,FALSE))</f>
        <v/>
      </c>
      <c r="P402" s="6" t="str">
        <f>IF(ISERROR(VLOOKUP($A402,'Plano de Contas'!#REF!,10,FALSE)),"",VLOOKUP($A402,'Plano de Contas'!#REF!,10,FALSE))</f>
        <v/>
      </c>
    </row>
    <row r="403" spans="1:16" x14ac:dyDescent="0.25">
      <c r="A403" t="s">
        <v>658</v>
      </c>
      <c r="B403">
        <v>171</v>
      </c>
      <c r="C403" t="s">
        <v>659</v>
      </c>
      <c r="D403" s="10">
        <v>1264756683.5599999</v>
      </c>
      <c r="E403" t="s">
        <v>35</v>
      </c>
      <c r="F403">
        <v>0</v>
      </c>
      <c r="H403">
        <v>0</v>
      </c>
      <c r="J403" s="10">
        <v>1264756683.5599999</v>
      </c>
      <c r="K403" t="s">
        <v>35</v>
      </c>
      <c r="L403" s="1">
        <f t="shared" si="6"/>
        <v>-1264756683.5599999</v>
      </c>
      <c r="N403" s="6" t="str">
        <f>IF(ISERROR(VLOOKUP($A403,'Plano de Contas'!#REF!,8,FALSE)),"",VLOOKUP($A403,'Plano de Contas'!#REF!,8,FALSE))</f>
        <v/>
      </c>
      <c r="P403" s="6" t="str">
        <f>IF(ISERROR(VLOOKUP($A403,'Plano de Contas'!#REF!,10,FALSE)),"",VLOOKUP($A403,'Plano de Contas'!#REF!,10,FALSE))</f>
        <v/>
      </c>
    </row>
    <row r="404" spans="1:16" x14ac:dyDescent="0.25">
      <c r="L404" s="1">
        <f t="shared" si="6"/>
        <v>0</v>
      </c>
      <c r="N404" s="6" t="str">
        <f>IF(ISERROR(VLOOKUP($A404,'Plano de Contas'!#REF!,8,FALSE)),"",VLOOKUP($A404,'Plano de Contas'!#REF!,8,FALSE))</f>
        <v/>
      </c>
      <c r="P404" s="6" t="str">
        <f>IF(ISERROR(VLOOKUP($A404,'Plano de Contas'!#REF!,10,FALSE)),"",VLOOKUP($A404,'Plano de Contas'!#REF!,10,FALSE))</f>
        <v/>
      </c>
    </row>
    <row r="405" spans="1:16" x14ac:dyDescent="0.25">
      <c r="A405" t="s">
        <v>660</v>
      </c>
      <c r="B405">
        <v>173</v>
      </c>
      <c r="C405" t="s">
        <v>661</v>
      </c>
      <c r="D405" s="10">
        <v>984946.55</v>
      </c>
      <c r="E405" t="s">
        <v>35</v>
      </c>
      <c r="F405">
        <v>0</v>
      </c>
      <c r="H405" s="10">
        <v>2172811479.2399998</v>
      </c>
      <c r="I405" t="s">
        <v>35</v>
      </c>
      <c r="J405" s="10">
        <v>2173796425.79</v>
      </c>
      <c r="K405" t="s">
        <v>35</v>
      </c>
      <c r="L405" s="1">
        <f t="shared" si="6"/>
        <v>-2173796425.79</v>
      </c>
      <c r="N405" s="6" t="str">
        <f>IF(ISERROR(VLOOKUP($A405,'Plano de Contas'!#REF!,8,FALSE)),"",VLOOKUP($A405,'Plano de Contas'!#REF!,8,FALSE))</f>
        <v/>
      </c>
      <c r="P405" s="6" t="str">
        <f>IF(ISERROR(VLOOKUP($A405,'Plano de Contas'!#REF!,10,FALSE)),"",VLOOKUP($A405,'Plano de Contas'!#REF!,10,FALSE))</f>
        <v/>
      </c>
    </row>
    <row r="406" spans="1:16" x14ac:dyDescent="0.25">
      <c r="L406" s="1">
        <f t="shared" si="6"/>
        <v>0</v>
      </c>
      <c r="N406" s="6" t="str">
        <f>IF(ISERROR(VLOOKUP($A406,'Plano de Contas'!#REF!,8,FALSE)),"",VLOOKUP($A406,'Plano de Contas'!#REF!,8,FALSE))</f>
        <v/>
      </c>
      <c r="P406" s="6" t="str">
        <f>IF(ISERROR(VLOOKUP($A406,'Plano de Contas'!#REF!,10,FALSE)),"",VLOOKUP($A406,'Plano de Contas'!#REF!,10,FALSE))</f>
        <v/>
      </c>
    </row>
    <row r="407" spans="1:16" x14ac:dyDescent="0.25">
      <c r="A407" t="s">
        <v>662</v>
      </c>
      <c r="B407">
        <v>174</v>
      </c>
      <c r="C407" t="s">
        <v>663</v>
      </c>
      <c r="D407" s="10">
        <v>948261.98</v>
      </c>
      <c r="E407" t="s">
        <v>35</v>
      </c>
      <c r="F407">
        <v>0</v>
      </c>
      <c r="H407">
        <v>0</v>
      </c>
      <c r="J407" s="10">
        <v>948261.98</v>
      </c>
      <c r="K407" t="s">
        <v>35</v>
      </c>
      <c r="L407" s="1">
        <f t="shared" si="6"/>
        <v>-948261.98</v>
      </c>
      <c r="N407" s="6" t="str">
        <f>IF(ISERROR(VLOOKUP($A407,'Plano de Contas'!#REF!,8,FALSE)),"",VLOOKUP($A407,'Plano de Contas'!#REF!,8,FALSE))</f>
        <v/>
      </c>
      <c r="P407" s="6" t="str">
        <f>IF(ISERROR(VLOOKUP($A407,'Plano de Contas'!#REF!,10,FALSE)),"",VLOOKUP($A407,'Plano de Contas'!#REF!,10,FALSE))</f>
        <v/>
      </c>
    </row>
    <row r="408" spans="1:16" x14ac:dyDescent="0.25">
      <c r="A408" t="s">
        <v>664</v>
      </c>
      <c r="B408">
        <v>175</v>
      </c>
      <c r="C408" t="s">
        <v>665</v>
      </c>
      <c r="D408" s="10">
        <v>-2777.91</v>
      </c>
      <c r="F408">
        <v>0</v>
      </c>
      <c r="H408">
        <v>0</v>
      </c>
      <c r="J408" s="10">
        <v>2777.91</v>
      </c>
      <c r="K408" t="s">
        <v>35</v>
      </c>
      <c r="L408" s="1">
        <f t="shared" si="6"/>
        <v>-2777.91</v>
      </c>
      <c r="N408" s="6" t="str">
        <f>IF(ISERROR(VLOOKUP($A408,'Plano de Contas'!#REF!,8,FALSE)),"",VLOOKUP($A408,'Plano de Contas'!#REF!,8,FALSE))</f>
        <v/>
      </c>
      <c r="P408" s="6" t="str">
        <f>IF(ISERROR(VLOOKUP($A408,'Plano de Contas'!#REF!,10,FALSE)),"",VLOOKUP($A408,'Plano de Contas'!#REF!,10,FALSE))</f>
        <v/>
      </c>
    </row>
    <row r="409" spans="1:16" x14ac:dyDescent="0.25">
      <c r="A409" t="s">
        <v>666</v>
      </c>
      <c r="B409">
        <v>176</v>
      </c>
      <c r="C409" t="s">
        <v>667</v>
      </c>
      <c r="D409" s="10">
        <v>-2193.35</v>
      </c>
      <c r="F409">
        <v>0</v>
      </c>
      <c r="H409">
        <v>0</v>
      </c>
      <c r="J409" s="10">
        <v>2193.35</v>
      </c>
      <c r="K409" t="s">
        <v>35</v>
      </c>
      <c r="L409" s="1">
        <f t="shared" si="6"/>
        <v>-2193.35</v>
      </c>
      <c r="N409" s="6" t="str">
        <f>IF(ISERROR(VLOOKUP($A409,'Plano de Contas'!#REF!,8,FALSE)),"",VLOOKUP($A409,'Plano de Contas'!#REF!,8,FALSE))</f>
        <v/>
      </c>
      <c r="P409" s="6" t="str">
        <f>IF(ISERROR(VLOOKUP($A409,'Plano de Contas'!#REF!,10,FALSE)),"",VLOOKUP($A409,'Plano de Contas'!#REF!,10,FALSE))</f>
        <v/>
      </c>
    </row>
    <row r="410" spans="1:16" x14ac:dyDescent="0.25">
      <c r="A410" t="s">
        <v>668</v>
      </c>
      <c r="B410">
        <v>515</v>
      </c>
      <c r="C410" t="s">
        <v>669</v>
      </c>
      <c r="D410" s="10">
        <v>-920000</v>
      </c>
      <c r="F410">
        <v>0</v>
      </c>
      <c r="H410">
        <v>0</v>
      </c>
      <c r="J410" s="10">
        <v>920000</v>
      </c>
      <c r="K410" t="s">
        <v>35</v>
      </c>
      <c r="L410" s="1">
        <f t="shared" si="6"/>
        <v>-920000</v>
      </c>
      <c r="N410" s="6" t="str">
        <f>IF(ISERROR(VLOOKUP($A410,'Plano de Contas'!#REF!,8,FALSE)),"",VLOOKUP($A410,'Plano de Contas'!#REF!,8,FALSE))</f>
        <v/>
      </c>
      <c r="P410" s="6" t="str">
        <f>IF(ISERROR(VLOOKUP($A410,'Plano de Contas'!#REF!,10,FALSE)),"",VLOOKUP($A410,'Plano de Contas'!#REF!,10,FALSE))</f>
        <v/>
      </c>
    </row>
    <row r="411" spans="1:16" x14ac:dyDescent="0.25">
      <c r="A411" t="s">
        <v>670</v>
      </c>
      <c r="B411">
        <v>565</v>
      </c>
      <c r="C411" t="s">
        <v>671</v>
      </c>
      <c r="D411" s="10">
        <v>-23290.720000000001</v>
      </c>
      <c r="F411">
        <v>0</v>
      </c>
      <c r="H411">
        <v>0</v>
      </c>
      <c r="J411" s="10">
        <v>23290.720000000001</v>
      </c>
      <c r="K411" t="s">
        <v>35</v>
      </c>
      <c r="L411" s="1">
        <f t="shared" si="6"/>
        <v>-23290.720000000001</v>
      </c>
      <c r="N411" s="6" t="str">
        <f>IF(ISERROR(VLOOKUP($A411,'Plano de Contas'!#REF!,8,FALSE)),"",VLOOKUP($A411,'Plano de Contas'!#REF!,8,FALSE))</f>
        <v/>
      </c>
      <c r="P411" s="6" t="str">
        <f>IF(ISERROR(VLOOKUP($A411,'Plano de Contas'!#REF!,10,FALSE)),"",VLOOKUP($A411,'Plano de Contas'!#REF!,10,FALSE))</f>
        <v/>
      </c>
    </row>
    <row r="412" spans="1:16" x14ac:dyDescent="0.25">
      <c r="L412" s="1">
        <f t="shared" si="6"/>
        <v>0</v>
      </c>
      <c r="N412" s="6" t="str">
        <f>IF(ISERROR(VLOOKUP($A412,'Plano de Contas'!#REF!,8,FALSE)),"",VLOOKUP($A412,'Plano de Contas'!#REF!,8,FALSE))</f>
        <v/>
      </c>
      <c r="P412" s="6" t="str">
        <f>IF(ISERROR(VLOOKUP($A412,'Plano de Contas'!#REF!,10,FALSE)),"",VLOOKUP($A412,'Plano de Contas'!#REF!,10,FALSE))</f>
        <v/>
      </c>
    </row>
    <row r="413" spans="1:16" x14ac:dyDescent="0.25">
      <c r="A413" t="s">
        <v>672</v>
      </c>
      <c r="B413">
        <v>177</v>
      </c>
      <c r="C413" t="s">
        <v>673</v>
      </c>
      <c r="D413" s="10">
        <v>36684.57</v>
      </c>
      <c r="E413" t="s">
        <v>35</v>
      </c>
      <c r="F413">
        <v>0</v>
      </c>
      <c r="H413">
        <v>0</v>
      </c>
      <c r="J413" s="10">
        <v>36684.57</v>
      </c>
      <c r="K413" t="s">
        <v>35</v>
      </c>
      <c r="L413" s="1">
        <f t="shared" si="6"/>
        <v>-36684.57</v>
      </c>
      <c r="N413" s="6" t="str">
        <f>IF(ISERROR(VLOOKUP($A413,'Plano de Contas'!#REF!,8,FALSE)),"",VLOOKUP($A413,'Plano de Contas'!#REF!,8,FALSE))</f>
        <v/>
      </c>
      <c r="P413" s="6" t="str">
        <f>IF(ISERROR(VLOOKUP($A413,'Plano de Contas'!#REF!,10,FALSE)),"",VLOOKUP($A413,'Plano de Contas'!#REF!,10,FALSE))</f>
        <v/>
      </c>
    </row>
    <row r="414" spans="1:16" x14ac:dyDescent="0.25">
      <c r="A414" t="s">
        <v>674</v>
      </c>
      <c r="B414">
        <v>178</v>
      </c>
      <c r="C414" t="s">
        <v>675</v>
      </c>
      <c r="D414" s="10">
        <v>18298.990000000002</v>
      </c>
      <c r="E414" t="s">
        <v>35</v>
      </c>
      <c r="F414">
        <v>0</v>
      </c>
      <c r="H414">
        <v>0</v>
      </c>
      <c r="J414" s="10">
        <v>18298.990000000002</v>
      </c>
      <c r="K414" t="s">
        <v>35</v>
      </c>
      <c r="L414" s="1">
        <f t="shared" si="6"/>
        <v>-18298.990000000002</v>
      </c>
      <c r="N414" s="6" t="str">
        <f>IF(ISERROR(VLOOKUP($A414,'Plano de Contas'!#REF!,8,FALSE)),"",VLOOKUP($A414,'Plano de Contas'!#REF!,8,FALSE))</f>
        <v/>
      </c>
      <c r="P414" s="6" t="str">
        <f>IF(ISERROR(VLOOKUP($A414,'Plano de Contas'!#REF!,10,FALSE)),"",VLOOKUP($A414,'Plano de Contas'!#REF!,10,FALSE))</f>
        <v/>
      </c>
    </row>
    <row r="415" spans="1:16" x14ac:dyDescent="0.25">
      <c r="A415" t="s">
        <v>676</v>
      </c>
      <c r="B415">
        <v>179</v>
      </c>
      <c r="C415" t="s">
        <v>677</v>
      </c>
      <c r="D415" s="10">
        <v>18385.580000000002</v>
      </c>
      <c r="E415" t="s">
        <v>35</v>
      </c>
      <c r="F415">
        <v>0</v>
      </c>
      <c r="H415">
        <v>0</v>
      </c>
      <c r="J415" s="10">
        <v>18385.580000000002</v>
      </c>
      <c r="K415" t="s">
        <v>35</v>
      </c>
      <c r="L415" s="1">
        <f t="shared" si="6"/>
        <v>-18385.580000000002</v>
      </c>
      <c r="N415" s="6" t="str">
        <f>IF(ISERROR(VLOOKUP($A415,'Plano de Contas'!#REF!,8,FALSE)),"",VLOOKUP($A415,'Plano de Contas'!#REF!,8,FALSE))</f>
        <v/>
      </c>
      <c r="P415" s="6" t="str">
        <f>IF(ISERROR(VLOOKUP($A415,'Plano de Contas'!#REF!,10,FALSE)),"",VLOOKUP($A415,'Plano de Contas'!#REF!,10,FALSE))</f>
        <v/>
      </c>
    </row>
    <row r="416" spans="1:16" x14ac:dyDescent="0.25">
      <c r="L416" s="1">
        <f t="shared" si="6"/>
        <v>0</v>
      </c>
      <c r="N416" s="6" t="str">
        <f>IF(ISERROR(VLOOKUP($A416,'Plano de Contas'!#REF!,8,FALSE)),"",VLOOKUP($A416,'Plano de Contas'!#REF!,8,FALSE))</f>
        <v/>
      </c>
      <c r="P416" s="6" t="str">
        <f>IF(ISERROR(VLOOKUP($A416,'Plano de Contas'!#REF!,10,FALSE)),"",VLOOKUP($A416,'Plano de Contas'!#REF!,10,FALSE))</f>
        <v/>
      </c>
    </row>
    <row r="417" spans="1:16" x14ac:dyDescent="0.25">
      <c r="A417" t="s">
        <v>1054</v>
      </c>
      <c r="B417">
        <v>1027</v>
      </c>
      <c r="C417" t="s">
        <v>1055</v>
      </c>
      <c r="D417">
        <v>0</v>
      </c>
      <c r="F417">
        <v>0</v>
      </c>
      <c r="H417" s="10">
        <v>2172811479.2399998</v>
      </c>
      <c r="I417" t="s">
        <v>35</v>
      </c>
      <c r="J417" s="10">
        <v>2172811479.2399998</v>
      </c>
      <c r="K417" t="s">
        <v>35</v>
      </c>
      <c r="L417" s="1">
        <f t="shared" si="6"/>
        <v>-2172811479.2399998</v>
      </c>
      <c r="N417" s="6" t="str">
        <f>IF(ISERROR(VLOOKUP($A417,'Plano de Contas'!#REF!,8,FALSE)),"",VLOOKUP($A417,'Plano de Contas'!#REF!,8,FALSE))</f>
        <v/>
      </c>
      <c r="P417" s="6" t="str">
        <f>IF(ISERROR(VLOOKUP($A417,'Plano de Contas'!#REF!,10,FALSE)),"",VLOOKUP($A417,'Plano de Contas'!#REF!,10,FALSE))</f>
        <v/>
      </c>
    </row>
    <row r="418" spans="1:16" x14ac:dyDescent="0.25">
      <c r="A418" t="s">
        <v>1056</v>
      </c>
      <c r="B418">
        <v>1028</v>
      </c>
      <c r="C418" t="s">
        <v>1057</v>
      </c>
      <c r="D418">
        <v>0</v>
      </c>
      <c r="F418">
        <v>0</v>
      </c>
      <c r="H418" s="10">
        <v>2172811479.2399998</v>
      </c>
      <c r="J418" s="10">
        <v>2172811479.2399998</v>
      </c>
      <c r="K418" t="s">
        <v>35</v>
      </c>
      <c r="L418" s="1">
        <f t="shared" si="6"/>
        <v>-2172811479.2399998</v>
      </c>
      <c r="N418" s="6" t="str">
        <f>IF(ISERROR(VLOOKUP($A418,'Plano de Contas'!#REF!,8,FALSE)),"",VLOOKUP($A418,'Plano de Contas'!#REF!,8,FALSE))</f>
        <v/>
      </c>
      <c r="P418" s="6" t="str">
        <f>IF(ISERROR(VLOOKUP($A418,'Plano de Contas'!#REF!,10,FALSE)),"",VLOOKUP($A418,'Plano de Contas'!#REF!,10,FALSE))</f>
        <v/>
      </c>
    </row>
    <row r="419" spans="1:16" x14ac:dyDescent="0.25">
      <c r="L419" s="1">
        <f t="shared" si="6"/>
        <v>0</v>
      </c>
      <c r="N419" s="6" t="str">
        <f>IF(ISERROR(VLOOKUP($A419,'Plano de Contas'!#REF!,8,FALSE)),"",VLOOKUP($A419,'Plano de Contas'!#REF!,8,FALSE))</f>
        <v/>
      </c>
      <c r="P419" s="6" t="str">
        <f>IF(ISERROR(VLOOKUP($A419,'Plano de Contas'!#REF!,10,FALSE)),"",VLOOKUP($A419,'Plano de Contas'!#REF!,10,FALSE))</f>
        <v/>
      </c>
    </row>
    <row r="420" spans="1:16" x14ac:dyDescent="0.25">
      <c r="A420" t="s">
        <v>678</v>
      </c>
      <c r="B420">
        <v>180</v>
      </c>
      <c r="C420" t="s">
        <v>679</v>
      </c>
      <c r="D420" s="10">
        <v>143841271.15000001</v>
      </c>
      <c r="E420" t="s">
        <v>35</v>
      </c>
      <c r="F420">
        <v>0</v>
      </c>
      <c r="H420" s="10">
        <v>9310534.3800000008</v>
      </c>
      <c r="I420" t="s">
        <v>35</v>
      </c>
      <c r="J420" s="10">
        <v>153151805.53</v>
      </c>
      <c r="K420" t="s">
        <v>35</v>
      </c>
      <c r="L420" s="1">
        <f t="shared" si="6"/>
        <v>-153151805.53</v>
      </c>
      <c r="N420" s="6" t="str">
        <f>IF(ISERROR(VLOOKUP($A420,'Plano de Contas'!#REF!,8,FALSE)),"",VLOOKUP($A420,'Plano de Contas'!#REF!,8,FALSE))</f>
        <v/>
      </c>
      <c r="P420" s="6" t="str">
        <f>IF(ISERROR(VLOOKUP($A420,'Plano de Contas'!#REF!,10,FALSE)),"",VLOOKUP($A420,'Plano de Contas'!#REF!,10,FALSE))</f>
        <v/>
      </c>
    </row>
    <row r="421" spans="1:16" x14ac:dyDescent="0.25">
      <c r="L421" s="1">
        <f t="shared" si="6"/>
        <v>0</v>
      </c>
      <c r="N421" s="6" t="str">
        <f>IF(ISERROR(VLOOKUP($A421,'Plano de Contas'!#REF!,8,FALSE)),"",VLOOKUP($A421,'Plano de Contas'!#REF!,8,FALSE))</f>
        <v/>
      </c>
      <c r="P421" s="6" t="str">
        <f>IF(ISERROR(VLOOKUP($A421,'Plano de Contas'!#REF!,10,FALSE)),"",VLOOKUP($A421,'Plano de Contas'!#REF!,10,FALSE))</f>
        <v/>
      </c>
    </row>
    <row r="422" spans="1:16" x14ac:dyDescent="0.25">
      <c r="A422" t="s">
        <v>684</v>
      </c>
      <c r="B422">
        <v>574</v>
      </c>
      <c r="C422" t="s">
        <v>685</v>
      </c>
      <c r="D422" s="10">
        <v>143841271.15000001</v>
      </c>
      <c r="E422" t="s">
        <v>35</v>
      </c>
      <c r="F422">
        <v>0</v>
      </c>
      <c r="H422" s="10">
        <v>9310534.3800000008</v>
      </c>
      <c r="I422" t="s">
        <v>35</v>
      </c>
      <c r="J422" s="10">
        <v>153151805.53</v>
      </c>
      <c r="K422" t="s">
        <v>35</v>
      </c>
      <c r="L422" s="1">
        <f t="shared" si="6"/>
        <v>-153151805.53</v>
      </c>
      <c r="N422" s="6" t="str">
        <f>IF(ISERROR(VLOOKUP($A422,'Plano de Contas'!#REF!,8,FALSE)),"",VLOOKUP($A422,'Plano de Contas'!#REF!,8,FALSE))</f>
        <v/>
      </c>
      <c r="P422" s="6" t="str">
        <f>IF(ISERROR(VLOOKUP($A422,'Plano de Contas'!#REF!,10,FALSE)),"",VLOOKUP($A422,'Plano de Contas'!#REF!,10,FALSE))</f>
        <v/>
      </c>
    </row>
    <row r="423" spans="1:16" x14ac:dyDescent="0.25">
      <c r="A423" t="s">
        <v>686</v>
      </c>
      <c r="B423">
        <v>575</v>
      </c>
      <c r="C423" t="s">
        <v>687</v>
      </c>
      <c r="D423" s="10">
        <v>143841271.15000001</v>
      </c>
      <c r="E423" t="s">
        <v>35</v>
      </c>
      <c r="F423">
        <v>0</v>
      </c>
      <c r="H423" s="10">
        <v>9310534.3800000008</v>
      </c>
      <c r="I423" t="s">
        <v>35</v>
      </c>
      <c r="J423" s="10">
        <v>153151805.53</v>
      </c>
      <c r="K423" t="s">
        <v>35</v>
      </c>
      <c r="L423" s="1">
        <f t="shared" si="6"/>
        <v>-153151805.53</v>
      </c>
      <c r="N423" s="6" t="str">
        <f>IF(ISERROR(VLOOKUP($A423,'Plano de Contas'!#REF!,8,FALSE)),"",VLOOKUP($A423,'Plano de Contas'!#REF!,8,FALSE))</f>
        <v/>
      </c>
      <c r="P423" s="6" t="str">
        <f>IF(ISERROR(VLOOKUP($A423,'Plano de Contas'!#REF!,10,FALSE)),"",VLOOKUP($A423,'Plano de Contas'!#REF!,10,FALSE))</f>
        <v/>
      </c>
    </row>
    <row r="424" spans="1:16" x14ac:dyDescent="0.25">
      <c r="L424" s="1">
        <f t="shared" si="6"/>
        <v>0</v>
      </c>
      <c r="N424" s="6" t="str">
        <f>IF(ISERROR(VLOOKUP($A424,'Plano de Contas'!#REF!,8,FALSE)),"",VLOOKUP($A424,'Plano de Contas'!#REF!,8,FALSE))</f>
        <v/>
      </c>
      <c r="P424" s="6" t="str">
        <f>IF(ISERROR(VLOOKUP($A424,'Plano de Contas'!#REF!,10,FALSE)),"",VLOOKUP($A424,'Plano de Contas'!#REF!,10,FALSE))</f>
        <v/>
      </c>
    </row>
    <row r="425" spans="1:16" x14ac:dyDescent="0.25">
      <c r="A425" t="s">
        <v>688</v>
      </c>
      <c r="B425">
        <v>184</v>
      </c>
      <c r="C425" t="s">
        <v>689</v>
      </c>
      <c r="D425" s="10">
        <v>15114735.51</v>
      </c>
      <c r="F425">
        <v>0</v>
      </c>
      <c r="H425">
        <v>0</v>
      </c>
      <c r="J425" s="10">
        <v>15114735.51</v>
      </c>
      <c r="L425" s="1">
        <f t="shared" si="6"/>
        <v>15114735.51</v>
      </c>
      <c r="N425" s="6" t="str">
        <f>IF(ISERROR(VLOOKUP($A425,'Plano de Contas'!#REF!,8,FALSE)),"",VLOOKUP($A425,'Plano de Contas'!#REF!,8,FALSE))</f>
        <v/>
      </c>
      <c r="P425" s="6" t="str">
        <f>IF(ISERROR(VLOOKUP($A425,'Plano de Contas'!#REF!,10,FALSE)),"",VLOOKUP($A425,'Plano de Contas'!#REF!,10,FALSE))</f>
        <v/>
      </c>
    </row>
    <row r="426" spans="1:16" x14ac:dyDescent="0.25">
      <c r="L426" s="1">
        <f t="shared" si="6"/>
        <v>0</v>
      </c>
      <c r="N426" s="6" t="str">
        <f>IF(ISERROR(VLOOKUP($A426,'Plano de Contas'!#REF!,8,FALSE)),"",VLOOKUP($A426,'Plano de Contas'!#REF!,8,FALSE))</f>
        <v/>
      </c>
      <c r="P426" s="6" t="str">
        <f>IF(ISERROR(VLOOKUP($A426,'Plano de Contas'!#REF!,10,FALSE)),"",VLOOKUP($A426,'Plano de Contas'!#REF!,10,FALSE))</f>
        <v/>
      </c>
    </row>
    <row r="427" spans="1:16" x14ac:dyDescent="0.25">
      <c r="A427" t="s">
        <v>690</v>
      </c>
      <c r="B427">
        <v>185</v>
      </c>
      <c r="C427" t="s">
        <v>691</v>
      </c>
      <c r="D427" s="10">
        <v>15114735.51</v>
      </c>
      <c r="F427">
        <v>0</v>
      </c>
      <c r="H427">
        <v>0</v>
      </c>
      <c r="J427" s="10">
        <v>15114735.51</v>
      </c>
      <c r="L427" s="1">
        <f t="shared" si="6"/>
        <v>15114735.51</v>
      </c>
      <c r="N427" s="6" t="str">
        <f>IF(ISERROR(VLOOKUP($A427,'Plano de Contas'!#REF!,8,FALSE)),"",VLOOKUP($A427,'Plano de Contas'!#REF!,8,FALSE))</f>
        <v/>
      </c>
      <c r="P427" s="6" t="str">
        <f>IF(ISERROR(VLOOKUP($A427,'Plano de Contas'!#REF!,10,FALSE)),"",VLOOKUP($A427,'Plano de Contas'!#REF!,10,FALSE))</f>
        <v/>
      </c>
    </row>
    <row r="428" spans="1:16" x14ac:dyDescent="0.25">
      <c r="A428" t="s">
        <v>692</v>
      </c>
      <c r="B428">
        <v>186</v>
      </c>
      <c r="C428" t="s">
        <v>693</v>
      </c>
      <c r="D428" s="10">
        <v>26954984.98</v>
      </c>
      <c r="F428">
        <v>0</v>
      </c>
      <c r="H428">
        <v>0</v>
      </c>
      <c r="J428" s="10">
        <v>26954984.98</v>
      </c>
      <c r="L428" s="1">
        <f t="shared" si="6"/>
        <v>26954984.98</v>
      </c>
      <c r="N428" s="6" t="str">
        <f>IF(ISERROR(VLOOKUP($A428,'Plano de Contas'!#REF!,8,FALSE)),"",VLOOKUP($A428,'Plano de Contas'!#REF!,8,FALSE))</f>
        <v/>
      </c>
      <c r="P428" s="6" t="str">
        <f>IF(ISERROR(VLOOKUP($A428,'Plano de Contas'!#REF!,10,FALSE)),"",VLOOKUP($A428,'Plano de Contas'!#REF!,10,FALSE))</f>
        <v/>
      </c>
    </row>
    <row r="429" spans="1:16" x14ac:dyDescent="0.25">
      <c r="A429" t="s">
        <v>694</v>
      </c>
      <c r="B429">
        <v>187</v>
      </c>
      <c r="C429" t="s">
        <v>695</v>
      </c>
      <c r="D429" s="10">
        <v>8675838.0299999993</v>
      </c>
      <c r="F429">
        <v>0</v>
      </c>
      <c r="H429">
        <v>0</v>
      </c>
      <c r="J429" s="10">
        <v>8675838.0299999993</v>
      </c>
      <c r="L429" s="1">
        <f t="shared" si="6"/>
        <v>8675838.0299999993</v>
      </c>
      <c r="N429" s="6" t="str">
        <f>IF(ISERROR(VLOOKUP($A429,'Plano de Contas'!#REF!,8,FALSE)),"",VLOOKUP($A429,'Plano de Contas'!#REF!,8,FALSE))</f>
        <v/>
      </c>
      <c r="P429" s="6" t="str">
        <f>IF(ISERROR(VLOOKUP($A429,'Plano de Contas'!#REF!,10,FALSE)),"",VLOOKUP($A429,'Plano de Contas'!#REF!,10,FALSE))</f>
        <v/>
      </c>
    </row>
    <row r="430" spans="1:16" x14ac:dyDescent="0.25">
      <c r="A430" t="s">
        <v>696</v>
      </c>
      <c r="B430">
        <v>188</v>
      </c>
      <c r="C430" t="s">
        <v>697</v>
      </c>
      <c r="D430" s="10">
        <v>2141957.19</v>
      </c>
      <c r="F430">
        <v>0</v>
      </c>
      <c r="H430">
        <v>0</v>
      </c>
      <c r="J430" s="10">
        <v>2141957.19</v>
      </c>
      <c r="L430" s="1">
        <f t="shared" si="6"/>
        <v>2141957.19</v>
      </c>
      <c r="N430" s="6" t="str">
        <f>IF(ISERROR(VLOOKUP($A430,'Plano de Contas'!#REF!,8,FALSE)),"",VLOOKUP($A430,'Plano de Contas'!#REF!,8,FALSE))</f>
        <v/>
      </c>
      <c r="P430" s="6" t="str">
        <f>IF(ISERROR(VLOOKUP($A430,'Plano de Contas'!#REF!,10,FALSE)),"",VLOOKUP($A430,'Plano de Contas'!#REF!,10,FALSE))</f>
        <v/>
      </c>
    </row>
    <row r="431" spans="1:16" x14ac:dyDescent="0.25">
      <c r="A431" t="s">
        <v>698</v>
      </c>
      <c r="B431">
        <v>189</v>
      </c>
      <c r="C431" t="s">
        <v>699</v>
      </c>
      <c r="D431" s="10">
        <v>-124185.7</v>
      </c>
      <c r="F431">
        <v>0</v>
      </c>
      <c r="H431">
        <v>0</v>
      </c>
      <c r="J431" s="10">
        <v>124185.7</v>
      </c>
      <c r="K431" t="s">
        <v>35</v>
      </c>
      <c r="L431" s="1">
        <f t="shared" si="6"/>
        <v>-124185.7</v>
      </c>
      <c r="N431" s="6" t="str">
        <f>IF(ISERROR(VLOOKUP($A431,'Plano de Contas'!#REF!,8,FALSE)),"",VLOOKUP($A431,'Plano de Contas'!#REF!,8,FALSE))</f>
        <v/>
      </c>
      <c r="P431" s="6" t="str">
        <f>IF(ISERROR(VLOOKUP($A431,'Plano de Contas'!#REF!,10,FALSE)),"",VLOOKUP($A431,'Plano de Contas'!#REF!,10,FALSE))</f>
        <v/>
      </c>
    </row>
    <row r="432" spans="1:16" x14ac:dyDescent="0.25">
      <c r="A432" t="s">
        <v>700</v>
      </c>
      <c r="B432">
        <v>190</v>
      </c>
      <c r="C432" t="s">
        <v>701</v>
      </c>
      <c r="D432" s="10">
        <v>838752.19</v>
      </c>
      <c r="F432">
        <v>0</v>
      </c>
      <c r="H432">
        <v>0</v>
      </c>
      <c r="J432" s="10">
        <v>838752.19</v>
      </c>
      <c r="L432" s="1">
        <f t="shared" si="6"/>
        <v>838752.19</v>
      </c>
      <c r="N432" s="6" t="str">
        <f>IF(ISERROR(VLOOKUP($A432,'Plano de Contas'!#REF!,8,FALSE)),"",VLOOKUP($A432,'Plano de Contas'!#REF!,8,FALSE))</f>
        <v/>
      </c>
      <c r="P432" s="6" t="str">
        <f>IF(ISERROR(VLOOKUP($A432,'Plano de Contas'!#REF!,10,FALSE)),"",VLOOKUP($A432,'Plano de Contas'!#REF!,10,FALSE))</f>
        <v/>
      </c>
    </row>
    <row r="433" spans="1:16" x14ac:dyDescent="0.25">
      <c r="A433" t="s">
        <v>702</v>
      </c>
      <c r="B433">
        <v>191</v>
      </c>
      <c r="C433" t="s">
        <v>703</v>
      </c>
      <c r="D433" s="10">
        <v>458264.12</v>
      </c>
      <c r="E433" t="s">
        <v>35</v>
      </c>
      <c r="F433">
        <v>0</v>
      </c>
      <c r="H433">
        <v>0</v>
      </c>
      <c r="J433" s="10">
        <v>458264.12</v>
      </c>
      <c r="K433" t="s">
        <v>35</v>
      </c>
      <c r="L433" s="1">
        <f t="shared" si="6"/>
        <v>-458264.12</v>
      </c>
      <c r="N433" s="6" t="str">
        <f>IF(ISERROR(VLOOKUP($A433,'Plano de Contas'!#REF!,8,FALSE)),"",VLOOKUP($A433,'Plano de Contas'!#REF!,8,FALSE))</f>
        <v/>
      </c>
      <c r="P433" s="6" t="str">
        <f>IF(ISERROR(VLOOKUP($A433,'Plano de Contas'!#REF!,10,FALSE)),"",VLOOKUP($A433,'Plano de Contas'!#REF!,10,FALSE))</f>
        <v/>
      </c>
    </row>
    <row r="434" spans="1:16" x14ac:dyDescent="0.25">
      <c r="A434" t="s">
        <v>704</v>
      </c>
      <c r="B434">
        <v>192</v>
      </c>
      <c r="C434" t="s">
        <v>705</v>
      </c>
      <c r="D434" s="10">
        <v>174603.05</v>
      </c>
      <c r="E434" t="s">
        <v>35</v>
      </c>
      <c r="F434">
        <v>0</v>
      </c>
      <c r="H434">
        <v>0</v>
      </c>
      <c r="J434" s="10">
        <v>174603.05</v>
      </c>
      <c r="K434" t="s">
        <v>35</v>
      </c>
      <c r="L434" s="1">
        <f t="shared" si="6"/>
        <v>-174603.05</v>
      </c>
      <c r="N434" s="6" t="str">
        <f>IF(ISERROR(VLOOKUP($A434,'Plano de Contas'!#REF!,8,FALSE)),"",VLOOKUP($A434,'Plano de Contas'!#REF!,8,FALSE))</f>
        <v/>
      </c>
      <c r="P434" s="6" t="str">
        <f>IF(ISERROR(VLOOKUP($A434,'Plano de Contas'!#REF!,10,FALSE)),"",VLOOKUP($A434,'Plano de Contas'!#REF!,10,FALSE))</f>
        <v/>
      </c>
    </row>
    <row r="435" spans="1:16" x14ac:dyDescent="0.25">
      <c r="A435" t="s">
        <v>706</v>
      </c>
      <c r="B435">
        <v>193</v>
      </c>
      <c r="C435" t="s">
        <v>707</v>
      </c>
      <c r="D435" s="10">
        <v>2891094.37</v>
      </c>
      <c r="E435" t="s">
        <v>35</v>
      </c>
      <c r="F435">
        <v>0</v>
      </c>
      <c r="H435">
        <v>0</v>
      </c>
      <c r="J435" s="10">
        <v>2891094.37</v>
      </c>
      <c r="K435" t="s">
        <v>35</v>
      </c>
      <c r="L435" s="1">
        <f t="shared" si="6"/>
        <v>-2891094.37</v>
      </c>
      <c r="N435" s="6" t="str">
        <f>IF(ISERROR(VLOOKUP($A435,'Plano de Contas'!#REF!,8,FALSE)),"",VLOOKUP($A435,'Plano de Contas'!#REF!,8,FALSE))</f>
        <v/>
      </c>
      <c r="P435" s="6" t="str">
        <f>IF(ISERROR(VLOOKUP($A435,'Plano de Contas'!#REF!,10,FALSE)),"",VLOOKUP($A435,'Plano de Contas'!#REF!,10,FALSE))</f>
        <v/>
      </c>
    </row>
    <row r="436" spans="1:16" x14ac:dyDescent="0.25">
      <c r="A436" t="s">
        <v>708</v>
      </c>
      <c r="B436">
        <v>194</v>
      </c>
      <c r="C436" t="s">
        <v>709</v>
      </c>
      <c r="D436" s="10">
        <v>2541359.94</v>
      </c>
      <c r="E436" t="s">
        <v>35</v>
      </c>
      <c r="F436">
        <v>0</v>
      </c>
      <c r="H436">
        <v>0</v>
      </c>
      <c r="J436" s="10">
        <v>2541359.94</v>
      </c>
      <c r="K436" t="s">
        <v>35</v>
      </c>
      <c r="L436" s="1">
        <f t="shared" si="6"/>
        <v>-2541359.94</v>
      </c>
      <c r="N436" s="6" t="str">
        <f>IF(ISERROR(VLOOKUP($A436,'Plano de Contas'!#REF!,8,FALSE)),"",VLOOKUP($A436,'Plano de Contas'!#REF!,8,FALSE))</f>
        <v/>
      </c>
      <c r="P436" s="6" t="str">
        <f>IF(ISERROR(VLOOKUP($A436,'Plano de Contas'!#REF!,10,FALSE)),"",VLOOKUP($A436,'Plano de Contas'!#REF!,10,FALSE))</f>
        <v/>
      </c>
    </row>
    <row r="437" spans="1:16" x14ac:dyDescent="0.25">
      <c r="A437" t="s">
        <v>710</v>
      </c>
      <c r="B437">
        <v>434</v>
      </c>
      <c r="C437" t="s">
        <v>711</v>
      </c>
      <c r="D437" s="10">
        <v>1894837.76</v>
      </c>
      <c r="F437">
        <v>0</v>
      </c>
      <c r="H437">
        <v>0</v>
      </c>
      <c r="J437" s="10">
        <v>1894837.76</v>
      </c>
      <c r="L437" s="1">
        <f t="shared" si="6"/>
        <v>1894837.76</v>
      </c>
      <c r="N437" s="6" t="str">
        <f>IF(ISERROR(VLOOKUP($A437,'Plano de Contas'!#REF!,8,FALSE)),"",VLOOKUP($A437,'Plano de Contas'!#REF!,8,FALSE))</f>
        <v/>
      </c>
      <c r="P437" s="6" t="str">
        <f>IF(ISERROR(VLOOKUP($A437,'Plano de Contas'!#REF!,10,FALSE)),"",VLOOKUP($A437,'Plano de Contas'!#REF!,10,FALSE))</f>
        <v/>
      </c>
    </row>
    <row r="438" spans="1:16" x14ac:dyDescent="0.25">
      <c r="A438" t="s">
        <v>712</v>
      </c>
      <c r="B438">
        <v>435</v>
      </c>
      <c r="C438" t="s">
        <v>713</v>
      </c>
      <c r="D438" s="10">
        <v>938820.84</v>
      </c>
      <c r="F438">
        <v>0</v>
      </c>
      <c r="H438">
        <v>0</v>
      </c>
      <c r="J438" s="10">
        <v>938820.84</v>
      </c>
      <c r="L438" s="1">
        <f t="shared" si="6"/>
        <v>938820.84</v>
      </c>
      <c r="N438" s="6" t="str">
        <f>IF(ISERROR(VLOOKUP($A438,'Plano de Contas'!#REF!,8,FALSE)),"",VLOOKUP($A438,'Plano de Contas'!#REF!,8,FALSE))</f>
        <v/>
      </c>
      <c r="P438" s="6" t="str">
        <f>IF(ISERROR(VLOOKUP($A438,'Plano de Contas'!#REF!,10,FALSE)),"",VLOOKUP($A438,'Plano de Contas'!#REF!,10,FALSE))</f>
        <v/>
      </c>
    </row>
    <row r="439" spans="1:16" x14ac:dyDescent="0.25">
      <c r="A439" t="s">
        <v>714</v>
      </c>
      <c r="B439">
        <v>482</v>
      </c>
      <c r="C439" t="s">
        <v>715</v>
      </c>
      <c r="D439" s="10">
        <v>8123088.2400000002</v>
      </c>
      <c r="F439">
        <v>0</v>
      </c>
      <c r="H439">
        <v>0</v>
      </c>
      <c r="J439" s="10">
        <v>8123088.2400000002</v>
      </c>
      <c r="L439" s="1">
        <f t="shared" si="6"/>
        <v>8123088.2400000002</v>
      </c>
      <c r="N439" s="6" t="str">
        <f>IF(ISERROR(VLOOKUP($A439,'Plano de Contas'!#REF!,8,FALSE)),"",VLOOKUP($A439,'Plano de Contas'!#REF!,8,FALSE))</f>
        <v/>
      </c>
      <c r="P439" s="6" t="str">
        <f>IF(ISERROR(VLOOKUP($A439,'Plano de Contas'!#REF!,10,FALSE)),"",VLOOKUP($A439,'Plano de Contas'!#REF!,10,FALSE))</f>
        <v/>
      </c>
    </row>
    <row r="440" spans="1:16" x14ac:dyDescent="0.25">
      <c r="A440" t="s">
        <v>716</v>
      </c>
      <c r="B440">
        <v>516</v>
      </c>
      <c r="C440" t="s">
        <v>717</v>
      </c>
      <c r="D440" s="10">
        <v>350983.15</v>
      </c>
      <c r="F440">
        <v>0</v>
      </c>
      <c r="H440">
        <v>0</v>
      </c>
      <c r="J440" s="10">
        <v>350983.15</v>
      </c>
      <c r="L440" s="1">
        <f t="shared" si="6"/>
        <v>350983.15</v>
      </c>
      <c r="N440" s="6" t="str">
        <f>IF(ISERROR(VLOOKUP($A440,'Plano de Contas'!#REF!,8,FALSE)),"",VLOOKUP($A440,'Plano de Contas'!#REF!,8,FALSE))</f>
        <v/>
      </c>
      <c r="P440" s="6" t="str">
        <f>IF(ISERROR(VLOOKUP($A440,'Plano de Contas'!#REF!,10,FALSE)),"",VLOOKUP($A440,'Plano de Contas'!#REF!,10,FALSE))</f>
        <v/>
      </c>
    </row>
    <row r="441" spans="1:16" x14ac:dyDescent="0.25">
      <c r="A441" t="s">
        <v>718</v>
      </c>
      <c r="B441">
        <v>530</v>
      </c>
      <c r="C441" t="s">
        <v>719</v>
      </c>
      <c r="D441" s="10">
        <v>15746.32</v>
      </c>
      <c r="F441">
        <v>0</v>
      </c>
      <c r="H441">
        <v>0</v>
      </c>
      <c r="J441" s="10">
        <v>15746.32</v>
      </c>
      <c r="L441" s="1">
        <f t="shared" si="6"/>
        <v>15746.32</v>
      </c>
      <c r="N441" s="6" t="str">
        <f>IF(ISERROR(VLOOKUP($A441,'Plano de Contas'!#REF!,8,FALSE)),"",VLOOKUP($A441,'Plano de Contas'!#REF!,8,FALSE))</f>
        <v/>
      </c>
      <c r="P441" s="6" t="str">
        <f>IF(ISERROR(VLOOKUP($A441,'Plano de Contas'!#REF!,10,FALSE)),"",VLOOKUP($A441,'Plano de Contas'!#REF!,10,FALSE))</f>
        <v/>
      </c>
    </row>
    <row r="442" spans="1:16" x14ac:dyDescent="0.25">
      <c r="A442" t="s">
        <v>720</v>
      </c>
      <c r="B442">
        <v>536</v>
      </c>
      <c r="C442" t="s">
        <v>721</v>
      </c>
      <c r="D442" s="10">
        <v>3372654.07</v>
      </c>
      <c r="F442">
        <v>0</v>
      </c>
      <c r="H442">
        <v>0</v>
      </c>
      <c r="J442" s="10">
        <v>3372654.07</v>
      </c>
      <c r="L442" s="1">
        <f t="shared" si="6"/>
        <v>3372654.07</v>
      </c>
      <c r="N442" s="6" t="str">
        <f>IF(ISERROR(VLOOKUP($A442,'Plano de Contas'!#REF!,8,FALSE)),"",VLOOKUP($A442,'Plano de Contas'!#REF!,8,FALSE))</f>
        <v/>
      </c>
      <c r="P442" s="6" t="str">
        <f>IF(ISERROR(VLOOKUP($A442,'Plano de Contas'!#REF!,10,FALSE)),"",VLOOKUP($A442,'Plano de Contas'!#REF!,10,FALSE))</f>
        <v/>
      </c>
    </row>
    <row r="443" spans="1:16" x14ac:dyDescent="0.25">
      <c r="A443" t="s">
        <v>722</v>
      </c>
      <c r="B443">
        <v>580</v>
      </c>
      <c r="C443" t="s">
        <v>723</v>
      </c>
      <c r="D443" s="10">
        <v>2201168.39</v>
      </c>
      <c r="E443" t="s">
        <v>35</v>
      </c>
      <c r="F443">
        <v>0</v>
      </c>
      <c r="H443">
        <v>0</v>
      </c>
      <c r="J443" s="10">
        <v>2201168.39</v>
      </c>
      <c r="K443" t="s">
        <v>35</v>
      </c>
      <c r="L443" s="1">
        <f t="shared" si="6"/>
        <v>-2201168.39</v>
      </c>
      <c r="N443" s="6" t="str">
        <f>IF(ISERROR(VLOOKUP($A443,'Plano de Contas'!#REF!,8,FALSE)),"",VLOOKUP($A443,'Plano de Contas'!#REF!,8,FALSE))</f>
        <v/>
      </c>
      <c r="P443" s="6" t="str">
        <f>IF(ISERROR(VLOOKUP($A443,'Plano de Contas'!#REF!,10,FALSE)),"",VLOOKUP($A443,'Plano de Contas'!#REF!,10,FALSE))</f>
        <v/>
      </c>
    </row>
    <row r="444" spans="1:16" x14ac:dyDescent="0.25">
      <c r="A444" t="s">
        <v>724</v>
      </c>
      <c r="B444">
        <v>626</v>
      </c>
      <c r="C444" t="s">
        <v>725</v>
      </c>
      <c r="D444" s="10">
        <v>557955.16</v>
      </c>
      <c r="F444">
        <v>0</v>
      </c>
      <c r="H444">
        <v>0</v>
      </c>
      <c r="J444" s="10">
        <v>557955.16</v>
      </c>
      <c r="L444" s="1">
        <f t="shared" si="6"/>
        <v>557955.16</v>
      </c>
      <c r="N444" s="6" t="str">
        <f>IF(ISERROR(VLOOKUP($A444,'Plano de Contas'!#REF!,8,FALSE)),"",VLOOKUP($A444,'Plano de Contas'!#REF!,8,FALSE))</f>
        <v/>
      </c>
      <c r="P444" s="6" t="str">
        <f>IF(ISERROR(VLOOKUP($A444,'Plano de Contas'!#REF!,10,FALSE)),"",VLOOKUP($A444,'Plano de Contas'!#REF!,10,FALSE))</f>
        <v/>
      </c>
    </row>
    <row r="445" spans="1:16" x14ac:dyDescent="0.25">
      <c r="A445" t="s">
        <v>726</v>
      </c>
      <c r="B445">
        <v>664</v>
      </c>
      <c r="C445" t="s">
        <v>727</v>
      </c>
      <c r="D445" s="10">
        <v>1363657.14</v>
      </c>
      <c r="E445" t="s">
        <v>35</v>
      </c>
      <c r="F445">
        <v>0</v>
      </c>
      <c r="H445">
        <v>0</v>
      </c>
      <c r="J445" s="10">
        <v>1363657.14</v>
      </c>
      <c r="K445" t="s">
        <v>35</v>
      </c>
      <c r="L445" s="1">
        <f t="shared" si="6"/>
        <v>-1363657.14</v>
      </c>
      <c r="N445" s="6" t="str">
        <f>IF(ISERROR(VLOOKUP($A445,'Plano de Contas'!#REF!,8,FALSE)),"",VLOOKUP($A445,'Plano de Contas'!#REF!,8,FALSE))</f>
        <v/>
      </c>
      <c r="P445" s="6" t="str">
        <f>IF(ISERROR(VLOOKUP($A445,'Plano de Contas'!#REF!,10,FALSE)),"",VLOOKUP($A445,'Plano de Contas'!#REF!,10,FALSE))</f>
        <v/>
      </c>
    </row>
    <row r="446" spans="1:16" x14ac:dyDescent="0.25">
      <c r="A446" t="s">
        <v>728</v>
      </c>
      <c r="B446">
        <v>714</v>
      </c>
      <c r="C446" t="s">
        <v>729</v>
      </c>
      <c r="D446" s="10">
        <v>876196.77</v>
      </c>
      <c r="F446">
        <v>0</v>
      </c>
      <c r="H446">
        <v>0</v>
      </c>
      <c r="J446" s="10">
        <v>876196.77</v>
      </c>
      <c r="L446" s="1">
        <f t="shared" si="6"/>
        <v>876196.77</v>
      </c>
      <c r="N446" s="6" t="str">
        <f>IF(ISERROR(VLOOKUP($A446,'Plano de Contas'!#REF!,8,FALSE)),"",VLOOKUP($A446,'Plano de Contas'!#REF!,8,FALSE))</f>
        <v/>
      </c>
      <c r="P446" s="6" t="str">
        <f>IF(ISERROR(VLOOKUP($A446,'Plano de Contas'!#REF!,10,FALSE)),"",VLOOKUP($A446,'Plano de Contas'!#REF!,10,FALSE))</f>
        <v/>
      </c>
    </row>
    <row r="447" spans="1:16" x14ac:dyDescent="0.25">
      <c r="A447" t="s">
        <v>730</v>
      </c>
      <c r="B447">
        <v>911</v>
      </c>
      <c r="C447" t="s">
        <v>731</v>
      </c>
      <c r="D447" s="10">
        <v>18117157.899999999</v>
      </c>
      <c r="E447" t="s">
        <v>35</v>
      </c>
      <c r="F447">
        <v>0</v>
      </c>
      <c r="H447">
        <v>0</v>
      </c>
      <c r="J447" s="10">
        <v>18117157.899999999</v>
      </c>
      <c r="K447" t="s">
        <v>35</v>
      </c>
      <c r="L447" s="1">
        <f t="shared" si="6"/>
        <v>-18117157.899999999</v>
      </c>
      <c r="N447" s="6" t="str">
        <f>IF(ISERROR(VLOOKUP($A447,'Plano de Contas'!#REF!,8,FALSE)),"",VLOOKUP($A447,'Plano de Contas'!#REF!,8,FALSE))</f>
        <v/>
      </c>
      <c r="P447" s="6" t="str">
        <f>IF(ISERROR(VLOOKUP($A447,'Plano de Contas'!#REF!,10,FALSE)),"",VLOOKUP($A447,'Plano de Contas'!#REF!,10,FALSE))</f>
        <v/>
      </c>
    </row>
    <row r="448" spans="1:16" x14ac:dyDescent="0.25">
      <c r="A448" t="s">
        <v>732</v>
      </c>
      <c r="B448">
        <v>930</v>
      </c>
      <c r="C448" t="s">
        <v>733</v>
      </c>
      <c r="D448" s="10">
        <v>2979196.86</v>
      </c>
      <c r="E448" t="s">
        <v>35</v>
      </c>
      <c r="F448">
        <v>0</v>
      </c>
      <c r="H448">
        <v>0</v>
      </c>
      <c r="J448" s="10">
        <v>2979196.86</v>
      </c>
      <c r="K448" t="s">
        <v>35</v>
      </c>
      <c r="L448" s="1">
        <f t="shared" si="6"/>
        <v>-2979196.86</v>
      </c>
      <c r="N448" s="6" t="str">
        <f>IF(ISERROR(VLOOKUP($A448,'Plano de Contas'!#REF!,8,FALSE)),"",VLOOKUP($A448,'Plano de Contas'!#REF!,8,FALSE))</f>
        <v/>
      </c>
      <c r="P448" s="6" t="str">
        <f>IF(ISERROR(VLOOKUP($A448,'Plano de Contas'!#REF!,10,FALSE)),"",VLOOKUP($A448,'Plano de Contas'!#REF!,10,FALSE))</f>
        <v/>
      </c>
    </row>
    <row r="449" spans="1:16" x14ac:dyDescent="0.25">
      <c r="A449" t="s">
        <v>1058</v>
      </c>
      <c r="B449">
        <v>972</v>
      </c>
      <c r="C449" t="s">
        <v>1059</v>
      </c>
      <c r="D449" s="10">
        <v>8776391.7200000007</v>
      </c>
      <c r="E449" t="s">
        <v>35</v>
      </c>
      <c r="F449">
        <v>0</v>
      </c>
      <c r="H449">
        <v>0</v>
      </c>
      <c r="J449" s="10">
        <v>8776391.7200000007</v>
      </c>
      <c r="K449" t="s">
        <v>35</v>
      </c>
      <c r="L449" s="1">
        <f t="shared" si="6"/>
        <v>-8776391.7200000007</v>
      </c>
      <c r="N449" s="6" t="str">
        <f>IF(ISERROR(VLOOKUP($A449,'Plano de Contas'!#REF!,8,FALSE)),"",VLOOKUP($A449,'Plano de Contas'!#REF!,8,FALSE))</f>
        <v/>
      </c>
      <c r="P449" s="6" t="str">
        <f>IF(ISERROR(VLOOKUP($A449,'Plano de Contas'!#REF!,10,FALSE)),"",VLOOKUP($A449,'Plano de Contas'!#REF!,10,FALSE))</f>
        <v/>
      </c>
    </row>
    <row r="450" spans="1:16" x14ac:dyDescent="0.25">
      <c r="L450" s="1">
        <f t="shared" si="6"/>
        <v>0</v>
      </c>
      <c r="N450" s="6" t="str">
        <f>IF(ISERROR(VLOOKUP($A450,'Plano de Contas'!#REF!,8,FALSE)),"",VLOOKUP($A450,'Plano de Contas'!#REF!,8,FALSE))</f>
        <v/>
      </c>
      <c r="P450" s="6" t="str">
        <f>IF(ISERROR(VLOOKUP($A450,'Plano de Contas'!#REF!,10,FALSE)),"",VLOOKUP($A450,'Plano de Contas'!#REF!,10,FALSE))</f>
        <v/>
      </c>
    </row>
    <row r="451" spans="1:16" x14ac:dyDescent="0.25">
      <c r="A451">
        <v>3</v>
      </c>
      <c r="B451">
        <v>195</v>
      </c>
      <c r="C451" t="s">
        <v>734</v>
      </c>
      <c r="D451" s="10">
        <v>15613476.890000001</v>
      </c>
      <c r="E451" t="s">
        <v>35</v>
      </c>
      <c r="F451" s="10">
        <v>19109837.870000001</v>
      </c>
      <c r="H451" s="10">
        <v>13505010.220000001</v>
      </c>
      <c r="I451" t="s">
        <v>35</v>
      </c>
      <c r="J451" s="10">
        <v>10008649.24</v>
      </c>
      <c r="K451" t="s">
        <v>35</v>
      </c>
      <c r="L451" s="1">
        <f t="shared" si="6"/>
        <v>-10008649.24</v>
      </c>
      <c r="N451" s="6" t="str">
        <f>IF(ISERROR(VLOOKUP($A451,'Plano de Contas'!#REF!,8,FALSE)),"",VLOOKUP($A451,'Plano de Contas'!#REF!,8,FALSE))</f>
        <v/>
      </c>
      <c r="P451" s="6" t="str">
        <f>IF(ISERROR(VLOOKUP($A451,'Plano de Contas'!#REF!,10,FALSE)),"",VLOOKUP($A451,'Plano de Contas'!#REF!,10,FALSE))</f>
        <v/>
      </c>
    </row>
    <row r="452" spans="1:16" x14ac:dyDescent="0.25">
      <c r="L452" s="1">
        <f>IF(K452="-",-J452,J452)</f>
        <v>0</v>
      </c>
      <c r="N452" s="6" t="str">
        <f>IF(ISERROR(VLOOKUP($A452,'Plano de Contas'!#REF!,8,FALSE)),"",VLOOKUP($A452,'Plano de Contas'!#REF!,8,FALSE))</f>
        <v/>
      </c>
      <c r="P452" s="6" t="str">
        <f>IF(ISERROR(VLOOKUP($A452,'Plano de Contas'!#REF!,10,FALSE)),"",VLOOKUP($A452,'Plano de Contas'!#REF!,10,FALSE))</f>
        <v/>
      </c>
    </row>
    <row r="453" spans="1:16" x14ac:dyDescent="0.25">
      <c r="A453" t="s">
        <v>735</v>
      </c>
      <c r="B453">
        <v>196</v>
      </c>
      <c r="C453" t="s">
        <v>736</v>
      </c>
      <c r="D453" s="10">
        <v>11307883.09</v>
      </c>
      <c r="E453" t="s">
        <v>35</v>
      </c>
      <c r="F453" s="10">
        <v>18959103.469999999</v>
      </c>
      <c r="H453" s="10">
        <v>12525883.970000001</v>
      </c>
      <c r="I453" t="s">
        <v>35</v>
      </c>
      <c r="J453" s="10">
        <v>4874663.59</v>
      </c>
      <c r="K453" t="s">
        <v>35</v>
      </c>
      <c r="L453" s="1">
        <f t="shared" si="6"/>
        <v>-4874663.59</v>
      </c>
      <c r="N453" s="6" t="str">
        <f>IF(ISERROR(VLOOKUP($A453,'Plano de Contas'!#REF!,8,FALSE)),"",VLOOKUP($A453,'Plano de Contas'!#REF!,8,FALSE))</f>
        <v/>
      </c>
      <c r="P453" s="6" t="str">
        <f>IF(ISERROR(VLOOKUP($A453,'Plano de Contas'!#REF!,10,FALSE)),"",VLOOKUP($A453,'Plano de Contas'!#REF!,10,FALSE))</f>
        <v/>
      </c>
    </row>
    <row r="454" spans="1:16" x14ac:dyDescent="0.25">
      <c r="L454" s="1">
        <f t="shared" si="6"/>
        <v>0</v>
      </c>
      <c r="N454" s="6" t="str">
        <f>IF(ISERROR(VLOOKUP($A454,'Plano de Contas'!#REF!,8,FALSE)),"",VLOOKUP($A454,'Plano de Contas'!#REF!,8,FALSE))</f>
        <v/>
      </c>
      <c r="P454" s="6" t="str">
        <f>IF(ISERROR(VLOOKUP($A454,'Plano de Contas'!#REF!,10,FALSE)),"",VLOOKUP($A454,'Plano de Contas'!#REF!,10,FALSE))</f>
        <v/>
      </c>
    </row>
    <row r="455" spans="1:16" x14ac:dyDescent="0.25">
      <c r="A455" t="s">
        <v>737</v>
      </c>
      <c r="B455">
        <v>197</v>
      </c>
      <c r="C455" t="s">
        <v>738</v>
      </c>
      <c r="D455" s="10">
        <v>91963091.469999999</v>
      </c>
      <c r="E455" t="s">
        <v>35</v>
      </c>
      <c r="F455" s="10">
        <v>5147266.1500000004</v>
      </c>
      <c r="H455" s="10">
        <v>9717822.9499999993</v>
      </c>
      <c r="I455" t="s">
        <v>35</v>
      </c>
      <c r="J455" s="10">
        <v>96533648.269999996</v>
      </c>
      <c r="K455" t="s">
        <v>35</v>
      </c>
      <c r="L455" s="1">
        <f t="shared" si="6"/>
        <v>-96533648.269999996</v>
      </c>
      <c r="N455" s="6" t="str">
        <f>IF(ISERROR(VLOOKUP($A455,'Plano de Contas'!#REF!,8,FALSE)),"",VLOOKUP($A455,'Plano de Contas'!#REF!,8,FALSE))</f>
        <v/>
      </c>
      <c r="P455" s="6" t="str">
        <f>IF(ISERROR(VLOOKUP($A455,'Plano de Contas'!#REF!,10,FALSE)),"",VLOOKUP($A455,'Plano de Contas'!#REF!,10,FALSE))</f>
        <v/>
      </c>
    </row>
    <row r="456" spans="1:16" x14ac:dyDescent="0.25">
      <c r="L456" s="1">
        <f t="shared" ref="L456:L519" si="7">IF(K456="-",-J456,J456)</f>
        <v>0</v>
      </c>
      <c r="N456" s="6" t="str">
        <f>IF(ISERROR(VLOOKUP($A456,'Plano de Contas'!#REF!,8,FALSE)),"",VLOOKUP($A456,'Plano de Contas'!#REF!,8,FALSE))</f>
        <v/>
      </c>
      <c r="P456" s="6" t="str">
        <f>IF(ISERROR(VLOOKUP($A456,'Plano de Contas'!#REF!,10,FALSE)),"",VLOOKUP($A456,'Plano de Contas'!#REF!,10,FALSE))</f>
        <v/>
      </c>
    </row>
    <row r="457" spans="1:16" x14ac:dyDescent="0.25">
      <c r="A457" t="s">
        <v>739</v>
      </c>
      <c r="B457">
        <v>198</v>
      </c>
      <c r="C457" t="s">
        <v>740</v>
      </c>
      <c r="D457" s="10">
        <v>103432394.44</v>
      </c>
      <c r="E457" t="s">
        <v>35</v>
      </c>
      <c r="F457">
        <v>707.06</v>
      </c>
      <c r="H457" s="10">
        <v>9292340.4499999993</v>
      </c>
      <c r="I457" t="s">
        <v>35</v>
      </c>
      <c r="J457" s="10">
        <v>112724027.83</v>
      </c>
      <c r="K457" t="s">
        <v>35</v>
      </c>
      <c r="L457" s="1">
        <f t="shared" si="7"/>
        <v>-112724027.83</v>
      </c>
      <c r="N457" s="6" t="str">
        <f>IF(ISERROR(VLOOKUP($A457,'Plano de Contas'!#REF!,8,FALSE)),"",VLOOKUP($A457,'Plano de Contas'!#REF!,8,FALSE))</f>
        <v/>
      </c>
      <c r="P457" s="6" t="str">
        <f>IF(ISERROR(VLOOKUP($A457,'Plano de Contas'!#REF!,10,FALSE)),"",VLOOKUP($A457,'Plano de Contas'!#REF!,10,FALSE))</f>
        <v/>
      </c>
    </row>
    <row r="458" spans="1:16" x14ac:dyDescent="0.25">
      <c r="A458" t="s">
        <v>741</v>
      </c>
      <c r="B458">
        <v>199</v>
      </c>
      <c r="C458" t="s">
        <v>742</v>
      </c>
      <c r="D458" s="10">
        <v>-27008061.859999999</v>
      </c>
      <c r="F458">
        <v>707.06</v>
      </c>
      <c r="H458" s="10">
        <v>2332143.44</v>
      </c>
      <c r="J458" s="10">
        <v>29339498.239999998</v>
      </c>
      <c r="K458" t="s">
        <v>35</v>
      </c>
      <c r="L458" s="1">
        <f t="shared" si="7"/>
        <v>-29339498.239999998</v>
      </c>
      <c r="N458" s="6" t="str">
        <f>IF(ISERROR(VLOOKUP($A458,'Plano de Contas'!#REF!,8,FALSE)),"",VLOOKUP($A458,'Plano de Contas'!#REF!,8,FALSE))</f>
        <v/>
      </c>
      <c r="P458" s="6" t="str">
        <f>IF(ISERROR(VLOOKUP($A458,'Plano de Contas'!#REF!,10,FALSE)),"",VLOOKUP($A458,'Plano de Contas'!#REF!,10,FALSE))</f>
        <v/>
      </c>
    </row>
    <row r="459" spans="1:16" x14ac:dyDescent="0.25">
      <c r="A459" t="s">
        <v>743</v>
      </c>
      <c r="B459">
        <v>200</v>
      </c>
      <c r="C459" t="s">
        <v>744</v>
      </c>
      <c r="D459" s="10">
        <v>-707140.73</v>
      </c>
      <c r="F459">
        <v>0</v>
      </c>
      <c r="H459" s="10">
        <v>1264.8</v>
      </c>
      <c r="J459" s="10">
        <v>708405.53</v>
      </c>
      <c r="K459" t="s">
        <v>35</v>
      </c>
      <c r="L459" s="1">
        <f t="shared" si="7"/>
        <v>-708405.53</v>
      </c>
      <c r="N459" s="6" t="str">
        <f>IF(ISERROR(VLOOKUP($A459,'Plano de Contas'!#REF!,8,FALSE)),"",VLOOKUP($A459,'Plano de Contas'!#REF!,8,FALSE))</f>
        <v/>
      </c>
      <c r="P459" s="6" t="str">
        <f>IF(ISERROR(VLOOKUP($A459,'Plano de Contas'!#REF!,10,FALSE)),"",VLOOKUP($A459,'Plano de Contas'!#REF!,10,FALSE))</f>
        <v/>
      </c>
    </row>
    <row r="460" spans="1:16" x14ac:dyDescent="0.25">
      <c r="A460" t="s">
        <v>745</v>
      </c>
      <c r="B460">
        <v>201</v>
      </c>
      <c r="C460" t="s">
        <v>746</v>
      </c>
      <c r="D460" s="10">
        <v>-8237657.2300000004</v>
      </c>
      <c r="F460">
        <v>0</v>
      </c>
      <c r="H460" s="10">
        <v>606141.66</v>
      </c>
      <c r="J460" s="10">
        <v>8843798.8900000006</v>
      </c>
      <c r="K460" t="s">
        <v>35</v>
      </c>
      <c r="L460" s="1">
        <f t="shared" si="7"/>
        <v>-8843798.8900000006</v>
      </c>
      <c r="N460" s="6" t="str">
        <f>IF(ISERROR(VLOOKUP($A460,'Plano de Contas'!#REF!,8,FALSE)),"",VLOOKUP($A460,'Plano de Contas'!#REF!,8,FALSE))</f>
        <v/>
      </c>
      <c r="P460" s="6" t="str">
        <f>IF(ISERROR(VLOOKUP($A460,'Plano de Contas'!#REF!,10,FALSE)),"",VLOOKUP($A460,'Plano de Contas'!#REF!,10,FALSE))</f>
        <v/>
      </c>
    </row>
    <row r="461" spans="1:16" x14ac:dyDescent="0.25">
      <c r="A461" t="s">
        <v>747</v>
      </c>
      <c r="B461">
        <v>202</v>
      </c>
      <c r="C461" t="s">
        <v>748</v>
      </c>
      <c r="D461" s="10">
        <v>66674207.020000003</v>
      </c>
      <c r="E461" t="s">
        <v>35</v>
      </c>
      <c r="F461">
        <v>0</v>
      </c>
      <c r="H461" s="10">
        <v>6252323.1500000004</v>
      </c>
      <c r="I461" t="s">
        <v>35</v>
      </c>
      <c r="J461" s="10">
        <v>72926530.170000002</v>
      </c>
      <c r="K461" t="s">
        <v>35</v>
      </c>
      <c r="L461" s="1">
        <f t="shared" si="7"/>
        <v>-72926530.170000002</v>
      </c>
      <c r="N461" s="6" t="str">
        <f>IF(ISERROR(VLOOKUP($A461,'Plano de Contas'!#REF!,8,FALSE)),"",VLOOKUP($A461,'Plano de Contas'!#REF!,8,FALSE))</f>
        <v/>
      </c>
      <c r="P461" s="6" t="str">
        <f>IF(ISERROR(VLOOKUP($A461,'Plano de Contas'!#REF!,10,FALSE)),"",VLOOKUP($A461,'Plano de Contas'!#REF!,10,FALSE))</f>
        <v/>
      </c>
    </row>
    <row r="462" spans="1:16" x14ac:dyDescent="0.25">
      <c r="A462" t="s">
        <v>749</v>
      </c>
      <c r="B462">
        <v>628</v>
      </c>
      <c r="C462" t="s">
        <v>750</v>
      </c>
      <c r="D462" s="10">
        <v>154000</v>
      </c>
      <c r="E462" t="s">
        <v>35</v>
      </c>
      <c r="F462">
        <v>0</v>
      </c>
      <c r="H462" s="10">
        <v>44000</v>
      </c>
      <c r="I462" t="s">
        <v>35</v>
      </c>
      <c r="J462" s="10">
        <v>198000</v>
      </c>
      <c r="K462" t="s">
        <v>35</v>
      </c>
      <c r="L462" s="1">
        <f t="shared" si="7"/>
        <v>-198000</v>
      </c>
      <c r="N462" s="6" t="str">
        <f>IF(ISERROR(VLOOKUP($A462,'Plano de Contas'!#REF!,8,FALSE)),"",VLOOKUP($A462,'Plano de Contas'!#REF!,8,FALSE))</f>
        <v/>
      </c>
      <c r="P462" s="6" t="str">
        <f>IF(ISERROR(VLOOKUP($A462,'Plano de Contas'!#REF!,10,FALSE)),"",VLOOKUP($A462,'Plano de Contas'!#REF!,10,FALSE))</f>
        <v/>
      </c>
    </row>
    <row r="463" spans="1:16" x14ac:dyDescent="0.25">
      <c r="A463" t="s">
        <v>1060</v>
      </c>
      <c r="B463">
        <v>965</v>
      </c>
      <c r="C463" t="s">
        <v>1061</v>
      </c>
      <c r="D463" s="10">
        <v>-651327.6</v>
      </c>
      <c r="F463">
        <v>0</v>
      </c>
      <c r="H463" s="10">
        <v>56467.4</v>
      </c>
      <c r="J463" s="10">
        <v>707795</v>
      </c>
      <c r="K463" t="s">
        <v>35</v>
      </c>
      <c r="L463" s="1">
        <f t="shared" si="7"/>
        <v>-707795</v>
      </c>
      <c r="N463" s="6" t="str">
        <f>IF(ISERROR(VLOOKUP($A463,'Plano de Contas'!#REF!,8,FALSE)),"",VLOOKUP($A463,'Plano de Contas'!#REF!,8,FALSE))</f>
        <v/>
      </c>
      <c r="P463" s="6" t="str">
        <f>IF(ISERROR(VLOOKUP($A463,'Plano de Contas'!#REF!,10,FALSE)),"",VLOOKUP($A463,'Plano de Contas'!#REF!,10,FALSE))</f>
        <v/>
      </c>
    </row>
    <row r="464" spans="1:16" x14ac:dyDescent="0.25">
      <c r="L464" s="1">
        <f t="shared" si="7"/>
        <v>0</v>
      </c>
      <c r="N464" s="6" t="str">
        <f>IF(ISERROR(VLOOKUP($A464,'Plano de Contas'!#REF!,8,FALSE)),"",VLOOKUP($A464,'Plano de Contas'!#REF!,8,FALSE))</f>
        <v/>
      </c>
      <c r="P464" s="6" t="str">
        <f>IF(ISERROR(VLOOKUP($A464,'Plano de Contas'!#REF!,10,FALSE)),"",VLOOKUP($A464,'Plano de Contas'!#REF!,10,FALSE))</f>
        <v/>
      </c>
    </row>
    <row r="465" spans="1:16" x14ac:dyDescent="0.25">
      <c r="A465" t="s">
        <v>751</v>
      </c>
      <c r="B465">
        <v>205</v>
      </c>
      <c r="C465" t="s">
        <v>752</v>
      </c>
      <c r="D465" s="10">
        <v>11469302.970000001</v>
      </c>
      <c r="F465" s="10">
        <v>5146559.09</v>
      </c>
      <c r="H465" s="10">
        <v>425482.5</v>
      </c>
      <c r="I465" t="s">
        <v>35</v>
      </c>
      <c r="J465" s="10">
        <v>16190379.560000001</v>
      </c>
      <c r="L465" s="1">
        <f t="shared" si="7"/>
        <v>16190379.560000001</v>
      </c>
      <c r="N465" s="6" t="str">
        <f>IF(ISERROR(VLOOKUP($A465,'Plano de Contas'!#REF!,8,FALSE)),"",VLOOKUP($A465,'Plano de Contas'!#REF!,8,FALSE))</f>
        <v/>
      </c>
      <c r="P465" s="6" t="str">
        <f>IF(ISERROR(VLOOKUP($A465,'Plano de Contas'!#REF!,10,FALSE)),"",VLOOKUP($A465,'Plano de Contas'!#REF!,10,FALSE))</f>
        <v/>
      </c>
    </row>
    <row r="466" spans="1:16" x14ac:dyDescent="0.25">
      <c r="A466" t="s">
        <v>753</v>
      </c>
      <c r="B466">
        <v>206</v>
      </c>
      <c r="C466" t="s">
        <v>754</v>
      </c>
      <c r="D466" s="10">
        <v>1705014.99</v>
      </c>
      <c r="F466" s="10">
        <v>153326.06</v>
      </c>
      <c r="H466" s="10">
        <v>67470.899999999994</v>
      </c>
      <c r="I466" t="s">
        <v>35</v>
      </c>
      <c r="J466" s="10">
        <v>1790870.15</v>
      </c>
      <c r="L466" s="1">
        <f t="shared" si="7"/>
        <v>1790870.15</v>
      </c>
      <c r="N466" s="6" t="str">
        <f>IF(ISERROR(VLOOKUP($A466,'Plano de Contas'!#REF!,8,FALSE)),"",VLOOKUP($A466,'Plano de Contas'!#REF!,8,FALSE))</f>
        <v/>
      </c>
      <c r="P466" s="6" t="str">
        <f>IF(ISERROR(VLOOKUP($A466,'Plano de Contas'!#REF!,10,FALSE)),"",VLOOKUP($A466,'Plano de Contas'!#REF!,10,FALSE))</f>
        <v/>
      </c>
    </row>
    <row r="467" spans="1:16" x14ac:dyDescent="0.25">
      <c r="A467" t="s">
        <v>755</v>
      </c>
      <c r="B467">
        <v>207</v>
      </c>
      <c r="C467" t="s">
        <v>554</v>
      </c>
      <c r="D467" s="10">
        <v>7844321.5800000001</v>
      </c>
      <c r="F467" s="10">
        <v>706220.27</v>
      </c>
      <c r="H467" s="10">
        <v>310775.11</v>
      </c>
      <c r="I467" t="s">
        <v>35</v>
      </c>
      <c r="J467" s="10">
        <v>8239766.7400000002</v>
      </c>
      <c r="L467" s="1">
        <f t="shared" si="7"/>
        <v>8239766.7400000002</v>
      </c>
      <c r="N467" s="6" t="str">
        <f>IF(ISERROR(VLOOKUP($A467,'Plano de Contas'!#REF!,8,FALSE)),"",VLOOKUP($A467,'Plano de Contas'!#REF!,8,FALSE))</f>
        <v/>
      </c>
      <c r="P467" s="6" t="str">
        <f>IF(ISERROR(VLOOKUP($A467,'Plano de Contas'!#REF!,10,FALSE)),"",VLOOKUP($A467,'Plano de Contas'!#REF!,10,FALSE))</f>
        <v/>
      </c>
    </row>
    <row r="468" spans="1:16" x14ac:dyDescent="0.25">
      <c r="A468" t="s">
        <v>756</v>
      </c>
      <c r="B468">
        <v>208</v>
      </c>
      <c r="C468" t="s">
        <v>757</v>
      </c>
      <c r="D468" s="10">
        <v>1776572.61</v>
      </c>
      <c r="F468" s="10">
        <v>149801.97</v>
      </c>
      <c r="H468" s="10">
        <v>47236.49</v>
      </c>
      <c r="I468" t="s">
        <v>35</v>
      </c>
      <c r="J468" s="10">
        <v>1879138.09</v>
      </c>
      <c r="L468" s="1">
        <f t="shared" si="7"/>
        <v>1879138.09</v>
      </c>
      <c r="N468" s="6" t="str">
        <f>IF(ISERROR(VLOOKUP($A468,'Plano de Contas'!#REF!,8,FALSE)),"",VLOOKUP($A468,'Plano de Contas'!#REF!,8,FALSE))</f>
        <v/>
      </c>
      <c r="P468" s="6" t="str">
        <f>IF(ISERROR(VLOOKUP($A468,'Plano de Contas'!#REF!,10,FALSE)),"",VLOOKUP($A468,'Plano de Contas'!#REF!,10,FALSE))</f>
        <v/>
      </c>
    </row>
    <row r="469" spans="1:16" x14ac:dyDescent="0.25">
      <c r="A469" t="s">
        <v>758</v>
      </c>
      <c r="B469">
        <v>332</v>
      </c>
      <c r="C469" t="s">
        <v>759</v>
      </c>
      <c r="D469" s="10">
        <v>104660.5</v>
      </c>
      <c r="F469" s="10">
        <v>4129730.79</v>
      </c>
      <c r="H469">
        <v>0</v>
      </c>
      <c r="J469" s="10">
        <v>4234391.29</v>
      </c>
      <c r="L469" s="1">
        <f t="shared" si="7"/>
        <v>4234391.29</v>
      </c>
      <c r="N469" s="6" t="str">
        <f>IF(ISERROR(VLOOKUP($A469,'Plano de Contas'!#REF!,8,FALSE)),"",VLOOKUP($A469,'Plano de Contas'!#REF!,8,FALSE))</f>
        <v/>
      </c>
      <c r="P469" s="6" t="str">
        <f>IF(ISERROR(VLOOKUP($A469,'Plano de Contas'!#REF!,10,FALSE)),"",VLOOKUP($A469,'Plano de Contas'!#REF!,10,FALSE))</f>
        <v/>
      </c>
    </row>
    <row r="470" spans="1:16" x14ac:dyDescent="0.25">
      <c r="A470" t="s">
        <v>760</v>
      </c>
      <c r="B470">
        <v>486</v>
      </c>
      <c r="C470" t="s">
        <v>761</v>
      </c>
      <c r="D470" s="10">
        <v>26180</v>
      </c>
      <c r="F470" s="10">
        <v>7480</v>
      </c>
      <c r="H470">
        <v>0</v>
      </c>
      <c r="J470" s="10">
        <v>33660</v>
      </c>
      <c r="L470" s="1">
        <f t="shared" si="7"/>
        <v>33660</v>
      </c>
      <c r="N470" s="6" t="str">
        <f>IF(ISERROR(VLOOKUP($A470,'Plano de Contas'!#REF!,8,FALSE)),"",VLOOKUP($A470,'Plano de Contas'!#REF!,8,FALSE))</f>
        <v/>
      </c>
      <c r="P470" s="6" t="str">
        <f>IF(ISERROR(VLOOKUP($A470,'Plano de Contas'!#REF!,10,FALSE)),"",VLOOKUP($A470,'Plano de Contas'!#REF!,10,FALSE))</f>
        <v/>
      </c>
    </row>
    <row r="471" spans="1:16" x14ac:dyDescent="0.25">
      <c r="A471" t="s">
        <v>1062</v>
      </c>
      <c r="B471">
        <v>547</v>
      </c>
      <c r="C471" t="s">
        <v>1063</v>
      </c>
      <c r="D471" s="10">
        <v>12553.29</v>
      </c>
      <c r="F471">
        <v>0</v>
      </c>
      <c r="H471">
        <v>0</v>
      </c>
      <c r="J471" s="10">
        <v>12553.29</v>
      </c>
      <c r="L471" s="1">
        <f t="shared" si="7"/>
        <v>12553.29</v>
      </c>
      <c r="N471" s="6" t="str">
        <f>IF(ISERROR(VLOOKUP($A471,'Plano de Contas'!#REF!,8,FALSE)),"",VLOOKUP($A471,'Plano de Contas'!#REF!,8,FALSE))</f>
        <v/>
      </c>
      <c r="P471" s="6" t="str">
        <f>IF(ISERROR(VLOOKUP($A471,'Plano de Contas'!#REF!,10,FALSE)),"",VLOOKUP($A471,'Plano de Contas'!#REF!,10,FALSE))</f>
        <v/>
      </c>
    </row>
    <row r="472" spans="1:16" x14ac:dyDescent="0.25">
      <c r="L472" s="1">
        <f t="shared" si="7"/>
        <v>0</v>
      </c>
      <c r="N472" s="6" t="str">
        <f>IF(ISERROR(VLOOKUP($A472,'Plano de Contas'!#REF!,8,FALSE)),"",VLOOKUP($A472,'Plano de Contas'!#REF!,8,FALSE))</f>
        <v/>
      </c>
      <c r="P472" s="6" t="str">
        <f>IF(ISERROR(VLOOKUP($A472,'Plano de Contas'!#REF!,10,FALSE)),"",VLOOKUP($A472,'Plano de Contas'!#REF!,10,FALSE))</f>
        <v/>
      </c>
    </row>
    <row r="473" spans="1:16" x14ac:dyDescent="0.25">
      <c r="A473" t="s">
        <v>762</v>
      </c>
      <c r="B473">
        <v>209</v>
      </c>
      <c r="C473" t="s">
        <v>763</v>
      </c>
      <c r="D473" s="10">
        <v>80655208.379999995</v>
      </c>
      <c r="F473" s="10">
        <v>13811837.32</v>
      </c>
      <c r="H473" s="10">
        <v>2808061.02</v>
      </c>
      <c r="I473" t="s">
        <v>35</v>
      </c>
      <c r="J473" s="10">
        <v>91658984.680000007</v>
      </c>
      <c r="L473" s="1">
        <f t="shared" si="7"/>
        <v>91658984.680000007</v>
      </c>
      <c r="N473" s="6" t="str">
        <f>IF(ISERROR(VLOOKUP($A473,'Plano de Contas'!#REF!,8,FALSE)),"",VLOOKUP($A473,'Plano de Contas'!#REF!,8,FALSE))</f>
        <v/>
      </c>
      <c r="P473" s="6" t="str">
        <f>IF(ISERROR(VLOOKUP($A473,'Plano de Contas'!#REF!,10,FALSE)),"",VLOOKUP($A473,'Plano de Contas'!#REF!,10,FALSE))</f>
        <v/>
      </c>
    </row>
    <row r="474" spans="1:16" x14ac:dyDescent="0.25">
      <c r="L474" s="1">
        <f t="shared" si="7"/>
        <v>0</v>
      </c>
      <c r="N474" s="6" t="str">
        <f>IF(ISERROR(VLOOKUP($A474,'Plano de Contas'!#REF!,8,FALSE)),"",VLOOKUP($A474,'Plano de Contas'!#REF!,8,FALSE))</f>
        <v/>
      </c>
      <c r="P474" s="6" t="str">
        <f>IF(ISERROR(VLOOKUP($A474,'Plano de Contas'!#REF!,10,FALSE)),"",VLOOKUP($A474,'Plano de Contas'!#REF!,10,FALSE))</f>
        <v/>
      </c>
    </row>
    <row r="475" spans="1:16" x14ac:dyDescent="0.25">
      <c r="A475" t="s">
        <v>764</v>
      </c>
      <c r="B475">
        <v>210</v>
      </c>
      <c r="C475" t="s">
        <v>765</v>
      </c>
      <c r="D475" s="10">
        <v>93264.94</v>
      </c>
      <c r="F475" s="10">
        <v>9244.9599999999991</v>
      </c>
      <c r="H475">
        <v>0</v>
      </c>
      <c r="J475" s="10">
        <v>102509.9</v>
      </c>
      <c r="L475" s="1">
        <f t="shared" si="7"/>
        <v>102509.9</v>
      </c>
      <c r="N475" s="6" t="str">
        <f>IF(ISERROR(VLOOKUP($A475,'Plano de Contas'!#REF!,8,FALSE)),"",VLOOKUP($A475,'Plano de Contas'!#REF!,8,FALSE))</f>
        <v/>
      </c>
      <c r="P475" s="6" t="str">
        <f>IF(ISERROR(VLOOKUP($A475,'Plano de Contas'!#REF!,10,FALSE)),"",VLOOKUP($A475,'Plano de Contas'!#REF!,10,FALSE))</f>
        <v/>
      </c>
    </row>
    <row r="476" spans="1:16" x14ac:dyDescent="0.25">
      <c r="A476" t="s">
        <v>766</v>
      </c>
      <c r="B476">
        <v>212</v>
      </c>
      <c r="C476" t="s">
        <v>767</v>
      </c>
      <c r="D476" s="10">
        <v>93264.94</v>
      </c>
      <c r="F476" s="10">
        <v>9244.9599999999991</v>
      </c>
      <c r="H476">
        <v>0</v>
      </c>
      <c r="J476" s="10">
        <v>102509.9</v>
      </c>
      <c r="L476" s="1">
        <f t="shared" si="7"/>
        <v>102509.9</v>
      </c>
      <c r="N476" s="6" t="str">
        <f>IF(ISERROR(VLOOKUP($A476,'Plano de Contas'!#REF!,8,FALSE)),"",VLOOKUP($A476,'Plano de Contas'!#REF!,8,FALSE))</f>
        <v/>
      </c>
      <c r="P476" s="6" t="str">
        <f>IF(ISERROR(VLOOKUP($A476,'Plano de Contas'!#REF!,10,FALSE)),"",VLOOKUP($A476,'Plano de Contas'!#REF!,10,FALSE))</f>
        <v/>
      </c>
    </row>
    <row r="477" spans="1:16" x14ac:dyDescent="0.25">
      <c r="L477" s="1">
        <f t="shared" si="7"/>
        <v>0</v>
      </c>
      <c r="N477" s="6" t="str">
        <f>IF(ISERROR(VLOOKUP($A477,'Plano de Contas'!#REF!,8,FALSE)),"",VLOOKUP($A477,'Plano de Contas'!#REF!,8,FALSE))</f>
        <v/>
      </c>
      <c r="P477" s="6" t="str">
        <f>IF(ISERROR(VLOOKUP($A477,'Plano de Contas'!#REF!,10,FALSE)),"",VLOOKUP($A477,'Plano de Contas'!#REF!,10,FALSE))</f>
        <v/>
      </c>
    </row>
    <row r="478" spans="1:16" x14ac:dyDescent="0.25">
      <c r="A478" t="s">
        <v>770</v>
      </c>
      <c r="B478">
        <v>221</v>
      </c>
      <c r="C478" t="s">
        <v>771</v>
      </c>
      <c r="D478" s="10">
        <v>37532425.299999997</v>
      </c>
      <c r="F478" s="10">
        <v>3569740.05</v>
      </c>
      <c r="H478" s="10">
        <v>75202.960000000006</v>
      </c>
      <c r="I478" t="s">
        <v>35</v>
      </c>
      <c r="J478" s="10">
        <v>41026962.390000001</v>
      </c>
      <c r="L478" s="1">
        <f t="shared" si="7"/>
        <v>41026962.390000001</v>
      </c>
      <c r="N478" s="6" t="str">
        <f>IF(ISERROR(VLOOKUP($A478,'Plano de Contas'!#REF!,8,FALSE)),"",VLOOKUP($A478,'Plano de Contas'!#REF!,8,FALSE))</f>
        <v/>
      </c>
      <c r="P478" s="6" t="str">
        <f>IF(ISERROR(VLOOKUP($A478,'Plano de Contas'!#REF!,10,FALSE)),"",VLOOKUP($A478,'Plano de Contas'!#REF!,10,FALSE))</f>
        <v/>
      </c>
    </row>
    <row r="479" spans="1:16" x14ac:dyDescent="0.25">
      <c r="A479" t="s">
        <v>772</v>
      </c>
      <c r="B479">
        <v>222</v>
      </c>
      <c r="C479" t="s">
        <v>773</v>
      </c>
      <c r="D479" s="10">
        <v>10642936.949999999</v>
      </c>
      <c r="F479" s="10">
        <v>953418.35</v>
      </c>
      <c r="H479">
        <v>0</v>
      </c>
      <c r="J479" s="10">
        <v>11596355.300000001</v>
      </c>
      <c r="L479" s="1">
        <f t="shared" si="7"/>
        <v>11596355.300000001</v>
      </c>
      <c r="N479" s="6" t="str">
        <f>IF(ISERROR(VLOOKUP($A479,'Plano de Contas'!#REF!,8,FALSE)),"",VLOOKUP($A479,'Plano de Contas'!#REF!,8,FALSE))</f>
        <v/>
      </c>
      <c r="P479" s="6" t="str">
        <f>IF(ISERROR(VLOOKUP($A479,'Plano de Contas'!#REF!,10,FALSE)),"",VLOOKUP($A479,'Plano de Contas'!#REF!,10,FALSE))</f>
        <v/>
      </c>
    </row>
    <row r="480" spans="1:16" x14ac:dyDescent="0.25">
      <c r="A480" t="s">
        <v>774</v>
      </c>
      <c r="B480">
        <v>223</v>
      </c>
      <c r="C480" t="s">
        <v>775</v>
      </c>
      <c r="D480" s="10">
        <v>449361.89</v>
      </c>
      <c r="F480">
        <v>0</v>
      </c>
      <c r="H480">
        <v>0</v>
      </c>
      <c r="J480" s="10">
        <v>449361.89</v>
      </c>
      <c r="L480" s="1">
        <f t="shared" si="7"/>
        <v>449361.89</v>
      </c>
      <c r="N480" s="6" t="str">
        <f>IF(ISERROR(VLOOKUP($A480,'Plano de Contas'!#REF!,8,FALSE)),"",VLOOKUP($A480,'Plano de Contas'!#REF!,8,FALSE))</f>
        <v/>
      </c>
      <c r="P480" s="6" t="str">
        <f>IF(ISERROR(VLOOKUP($A480,'Plano de Contas'!#REF!,10,FALSE)),"",VLOOKUP($A480,'Plano de Contas'!#REF!,10,FALSE))</f>
        <v/>
      </c>
    </row>
    <row r="481" spans="1:16" x14ac:dyDescent="0.25">
      <c r="A481" t="s">
        <v>776</v>
      </c>
      <c r="B481">
        <v>224</v>
      </c>
      <c r="C481" t="s">
        <v>777</v>
      </c>
      <c r="D481" s="10">
        <v>3825375.57</v>
      </c>
      <c r="F481" s="10">
        <v>471946.54</v>
      </c>
      <c r="H481">
        <v>0</v>
      </c>
      <c r="J481" s="10">
        <v>4297322.1100000003</v>
      </c>
      <c r="L481" s="1">
        <f t="shared" si="7"/>
        <v>4297322.1100000003</v>
      </c>
      <c r="N481" s="6" t="str">
        <f>IF(ISERROR(VLOOKUP($A481,'Plano de Contas'!#REF!,8,FALSE)),"",VLOOKUP($A481,'Plano de Contas'!#REF!,8,FALSE))</f>
        <v/>
      </c>
      <c r="P481" s="6" t="str">
        <f>IF(ISERROR(VLOOKUP($A481,'Plano de Contas'!#REF!,10,FALSE)),"",VLOOKUP($A481,'Plano de Contas'!#REF!,10,FALSE))</f>
        <v/>
      </c>
    </row>
    <row r="482" spans="1:16" x14ac:dyDescent="0.25">
      <c r="A482" t="s">
        <v>778</v>
      </c>
      <c r="B482">
        <v>225</v>
      </c>
      <c r="C482" t="s">
        <v>779</v>
      </c>
      <c r="D482" s="10">
        <v>1743959.15</v>
      </c>
      <c r="F482" s="10">
        <v>82932.77</v>
      </c>
      <c r="H482">
        <v>0</v>
      </c>
      <c r="J482" s="10">
        <v>1826891.92</v>
      </c>
      <c r="L482" s="1">
        <f t="shared" si="7"/>
        <v>1826891.92</v>
      </c>
      <c r="N482" s="6" t="str">
        <f>IF(ISERROR(VLOOKUP($A482,'Plano de Contas'!#REF!,8,FALSE)),"",VLOOKUP($A482,'Plano de Contas'!#REF!,8,FALSE))</f>
        <v/>
      </c>
      <c r="P482" s="6" t="str">
        <f>IF(ISERROR(VLOOKUP($A482,'Plano de Contas'!#REF!,10,FALSE)),"",VLOOKUP($A482,'Plano de Contas'!#REF!,10,FALSE))</f>
        <v/>
      </c>
    </row>
    <row r="483" spans="1:16" x14ac:dyDescent="0.25">
      <c r="A483" t="s">
        <v>780</v>
      </c>
      <c r="B483">
        <v>226</v>
      </c>
      <c r="C483" t="s">
        <v>769</v>
      </c>
      <c r="D483" s="10">
        <v>6752756.96</v>
      </c>
      <c r="F483" s="10">
        <v>626688.98</v>
      </c>
      <c r="H483">
        <v>0</v>
      </c>
      <c r="J483" s="10">
        <v>7379445.9400000004</v>
      </c>
      <c r="L483" s="1">
        <f t="shared" si="7"/>
        <v>7379445.9400000004</v>
      </c>
      <c r="N483" s="6" t="str">
        <f>IF(ISERROR(VLOOKUP($A483,'Plano de Contas'!#REF!,8,FALSE)),"",VLOOKUP($A483,'Plano de Contas'!#REF!,8,FALSE))</f>
        <v/>
      </c>
      <c r="P483" s="6" t="str">
        <f>IF(ISERROR(VLOOKUP($A483,'Plano de Contas'!#REF!,10,FALSE)),"",VLOOKUP($A483,'Plano de Contas'!#REF!,10,FALSE))</f>
        <v/>
      </c>
    </row>
    <row r="484" spans="1:16" x14ac:dyDescent="0.25">
      <c r="A484" t="s">
        <v>783</v>
      </c>
      <c r="B484">
        <v>228</v>
      </c>
      <c r="C484" t="s">
        <v>540</v>
      </c>
      <c r="D484" s="10">
        <v>6340554.3200000003</v>
      </c>
      <c r="F484" s="10">
        <v>622685.74</v>
      </c>
      <c r="H484" s="10">
        <v>1569.03</v>
      </c>
      <c r="I484" t="s">
        <v>35</v>
      </c>
      <c r="J484" s="10">
        <v>6961671.0300000003</v>
      </c>
      <c r="L484" s="1">
        <f t="shared" si="7"/>
        <v>6961671.0300000003</v>
      </c>
      <c r="N484" s="6" t="str">
        <f>IF(ISERROR(VLOOKUP($A484,'Plano de Contas'!#REF!,8,FALSE)),"",VLOOKUP($A484,'Plano de Contas'!#REF!,8,FALSE))</f>
        <v/>
      </c>
      <c r="P484" s="6" t="str">
        <f>IF(ISERROR(VLOOKUP($A484,'Plano de Contas'!#REF!,10,FALSE)),"",VLOOKUP($A484,'Plano de Contas'!#REF!,10,FALSE))</f>
        <v/>
      </c>
    </row>
    <row r="485" spans="1:16" x14ac:dyDescent="0.25">
      <c r="A485" t="s">
        <v>784</v>
      </c>
      <c r="B485">
        <v>229</v>
      </c>
      <c r="C485" t="s">
        <v>785</v>
      </c>
      <c r="D485" s="10">
        <v>1770876.89</v>
      </c>
      <c r="F485" s="10">
        <v>172787.67</v>
      </c>
      <c r="H485">
        <v>0</v>
      </c>
      <c r="J485" s="10">
        <v>1943664.56</v>
      </c>
      <c r="L485" s="1">
        <f t="shared" si="7"/>
        <v>1943664.56</v>
      </c>
      <c r="N485" s="6" t="str">
        <f>IF(ISERROR(VLOOKUP($A485,'Plano de Contas'!#REF!,8,FALSE)),"",VLOOKUP($A485,'Plano de Contas'!#REF!,8,FALSE))</f>
        <v/>
      </c>
      <c r="P485" s="6" t="str">
        <f>IF(ISERROR(VLOOKUP($A485,'Plano de Contas'!#REF!,10,FALSE)),"",VLOOKUP($A485,'Plano de Contas'!#REF!,10,FALSE))</f>
        <v/>
      </c>
    </row>
    <row r="486" spans="1:16" x14ac:dyDescent="0.25">
      <c r="A486" t="s">
        <v>786</v>
      </c>
      <c r="B486">
        <v>230</v>
      </c>
      <c r="C486" t="s">
        <v>787</v>
      </c>
      <c r="D486" s="10">
        <v>47691</v>
      </c>
      <c r="F486">
        <v>0</v>
      </c>
      <c r="H486">
        <v>0</v>
      </c>
      <c r="J486" s="10">
        <v>47691</v>
      </c>
      <c r="L486" s="1">
        <f t="shared" si="7"/>
        <v>47691</v>
      </c>
      <c r="N486" s="6" t="str">
        <f>IF(ISERROR(VLOOKUP($A486,'Plano de Contas'!#REF!,8,FALSE)),"",VLOOKUP($A486,'Plano de Contas'!#REF!,8,FALSE))</f>
        <v/>
      </c>
      <c r="P486" s="6" t="str">
        <f>IF(ISERROR(VLOOKUP($A486,'Plano de Contas'!#REF!,10,FALSE)),"",VLOOKUP($A486,'Plano de Contas'!#REF!,10,FALSE))</f>
        <v/>
      </c>
    </row>
    <row r="487" spans="1:16" x14ac:dyDescent="0.25">
      <c r="A487" t="s">
        <v>788</v>
      </c>
      <c r="B487">
        <v>231</v>
      </c>
      <c r="C487" t="s">
        <v>789</v>
      </c>
      <c r="D487" s="10">
        <v>635947.49</v>
      </c>
      <c r="F487" s="10">
        <v>122015.25</v>
      </c>
      <c r="H487" s="10">
        <v>64034.68</v>
      </c>
      <c r="J487" s="10">
        <v>693928.06</v>
      </c>
      <c r="L487" s="1">
        <f t="shared" si="7"/>
        <v>693928.06</v>
      </c>
      <c r="N487" s="6" t="str">
        <f>IF(ISERROR(VLOOKUP($A487,'Plano de Contas'!#REF!,8,FALSE)),"",VLOOKUP($A487,'Plano de Contas'!#REF!,8,FALSE))</f>
        <v/>
      </c>
      <c r="P487" s="6" t="str">
        <f>IF(ISERROR(VLOOKUP($A487,'Plano de Contas'!#REF!,10,FALSE)),"",VLOOKUP($A487,'Plano de Contas'!#REF!,10,FALSE))</f>
        <v/>
      </c>
    </row>
    <row r="488" spans="1:16" x14ac:dyDescent="0.25">
      <c r="A488" t="s">
        <v>790</v>
      </c>
      <c r="B488">
        <v>232</v>
      </c>
      <c r="C488" t="s">
        <v>791</v>
      </c>
      <c r="D488" s="10">
        <v>105662.93</v>
      </c>
      <c r="F488" s="10">
        <v>12744.27</v>
      </c>
      <c r="H488" s="10">
        <v>1299.1400000000001</v>
      </c>
      <c r="I488" t="s">
        <v>35</v>
      </c>
      <c r="J488" s="10">
        <v>117108.06</v>
      </c>
      <c r="L488" s="1">
        <f t="shared" si="7"/>
        <v>117108.06</v>
      </c>
      <c r="N488" s="6" t="str">
        <f>IF(ISERROR(VLOOKUP($A488,'Plano de Contas'!#REF!,8,FALSE)),"",VLOOKUP($A488,'Plano de Contas'!#REF!,8,FALSE))</f>
        <v/>
      </c>
      <c r="P488" s="6" t="str">
        <f>IF(ISERROR(VLOOKUP($A488,'Plano de Contas'!#REF!,10,FALSE)),"",VLOOKUP($A488,'Plano de Contas'!#REF!,10,FALSE))</f>
        <v/>
      </c>
    </row>
    <row r="489" spans="1:16" x14ac:dyDescent="0.25">
      <c r="A489" t="s">
        <v>792</v>
      </c>
      <c r="B489">
        <v>233</v>
      </c>
      <c r="C489" t="s">
        <v>793</v>
      </c>
      <c r="D489" s="10">
        <v>2347855.48</v>
      </c>
      <c r="F489" s="10">
        <v>221602.5</v>
      </c>
      <c r="H489" s="10">
        <v>7103.77</v>
      </c>
      <c r="I489" t="s">
        <v>35</v>
      </c>
      <c r="J489" s="10">
        <v>2562354.21</v>
      </c>
      <c r="L489" s="1">
        <f t="shared" si="7"/>
        <v>2562354.21</v>
      </c>
      <c r="N489" s="6" t="str">
        <f>IF(ISERROR(VLOOKUP($A489,'Plano de Contas'!#REF!,8,FALSE)),"",VLOOKUP($A489,'Plano de Contas'!#REF!,8,FALSE))</f>
        <v/>
      </c>
      <c r="P489" s="6" t="str">
        <f>IF(ISERROR(VLOOKUP($A489,'Plano de Contas'!#REF!,10,FALSE)),"",VLOOKUP($A489,'Plano de Contas'!#REF!,10,FALSE))</f>
        <v/>
      </c>
    </row>
    <row r="490" spans="1:16" x14ac:dyDescent="0.25">
      <c r="A490" t="s">
        <v>794</v>
      </c>
      <c r="B490">
        <v>235</v>
      </c>
      <c r="C490" t="s">
        <v>795</v>
      </c>
      <c r="D490" s="10">
        <v>-44451.19</v>
      </c>
      <c r="F490" s="10">
        <v>1831.78</v>
      </c>
      <c r="H490" s="10">
        <v>1196.3399999999999</v>
      </c>
      <c r="J490" s="10">
        <v>43815.75</v>
      </c>
      <c r="K490" t="s">
        <v>35</v>
      </c>
      <c r="L490" s="1">
        <f t="shared" si="7"/>
        <v>-43815.75</v>
      </c>
      <c r="N490" s="6" t="str">
        <f>IF(ISERROR(VLOOKUP($A490,'Plano de Contas'!#REF!,8,FALSE)),"",VLOOKUP($A490,'Plano de Contas'!#REF!,8,FALSE))</f>
        <v/>
      </c>
      <c r="P490" s="6" t="str">
        <f>IF(ISERROR(VLOOKUP($A490,'Plano de Contas'!#REF!,10,FALSE)),"",VLOOKUP($A490,'Plano de Contas'!#REF!,10,FALSE))</f>
        <v/>
      </c>
    </row>
    <row r="491" spans="1:16" x14ac:dyDescent="0.25">
      <c r="A491" t="s">
        <v>796</v>
      </c>
      <c r="B491">
        <v>702</v>
      </c>
      <c r="C491" t="s">
        <v>797</v>
      </c>
      <c r="D491" s="10">
        <v>153278.17000000001</v>
      </c>
      <c r="F491" s="10">
        <v>17781.82</v>
      </c>
      <c r="H491">
        <v>0</v>
      </c>
      <c r="J491" s="10">
        <v>171059.99</v>
      </c>
      <c r="L491" s="1">
        <f t="shared" si="7"/>
        <v>171059.99</v>
      </c>
      <c r="N491" s="6" t="str">
        <f>IF(ISERROR(VLOOKUP($A491,'Plano de Contas'!#REF!,8,FALSE)),"",VLOOKUP($A491,'Plano de Contas'!#REF!,8,FALSE))</f>
        <v/>
      </c>
      <c r="P491" s="6" t="str">
        <f>IF(ISERROR(VLOOKUP($A491,'Plano de Contas'!#REF!,10,FALSE)),"",VLOOKUP($A491,'Plano de Contas'!#REF!,10,FALSE))</f>
        <v/>
      </c>
    </row>
    <row r="492" spans="1:16" x14ac:dyDescent="0.25">
      <c r="A492" t="s">
        <v>798</v>
      </c>
      <c r="B492">
        <v>703</v>
      </c>
      <c r="C492" t="s">
        <v>799</v>
      </c>
      <c r="D492" s="10">
        <v>193930.06</v>
      </c>
      <c r="F492" s="10">
        <v>13476.46</v>
      </c>
      <c r="H492">
        <v>0</v>
      </c>
      <c r="J492" s="10">
        <v>207406.52</v>
      </c>
      <c r="L492" s="1">
        <f t="shared" si="7"/>
        <v>207406.52</v>
      </c>
      <c r="N492" s="6" t="str">
        <f>IF(ISERROR(VLOOKUP($A492,'Plano de Contas'!#REF!,8,FALSE)),"",VLOOKUP($A492,'Plano de Contas'!#REF!,8,FALSE))</f>
        <v/>
      </c>
      <c r="P492" s="6" t="str">
        <f>IF(ISERROR(VLOOKUP($A492,'Plano de Contas'!#REF!,10,FALSE)),"",VLOOKUP($A492,'Plano de Contas'!#REF!,10,FALSE))</f>
        <v/>
      </c>
    </row>
    <row r="493" spans="1:16" x14ac:dyDescent="0.25">
      <c r="A493" t="s">
        <v>800</v>
      </c>
      <c r="B493">
        <v>704</v>
      </c>
      <c r="C493" t="s">
        <v>801</v>
      </c>
      <c r="D493" s="10">
        <v>8639.75</v>
      </c>
      <c r="F493">
        <v>724</v>
      </c>
      <c r="H493">
        <v>0</v>
      </c>
      <c r="J493" s="10">
        <v>9363.75</v>
      </c>
      <c r="L493" s="1">
        <f t="shared" si="7"/>
        <v>9363.75</v>
      </c>
      <c r="N493" s="6" t="str">
        <f>IF(ISERROR(VLOOKUP($A493,'Plano de Contas'!#REF!,8,FALSE)),"",VLOOKUP($A493,'Plano de Contas'!#REF!,8,FALSE))</f>
        <v/>
      </c>
      <c r="P493" s="6" t="str">
        <f>IF(ISERROR(VLOOKUP($A493,'Plano de Contas'!#REF!,10,FALSE)),"",VLOOKUP($A493,'Plano de Contas'!#REF!,10,FALSE))</f>
        <v/>
      </c>
    </row>
    <row r="494" spans="1:16" x14ac:dyDescent="0.25">
      <c r="A494" t="s">
        <v>802</v>
      </c>
      <c r="B494">
        <v>705</v>
      </c>
      <c r="C494" t="s">
        <v>803</v>
      </c>
      <c r="D494" s="10">
        <v>638754.4</v>
      </c>
      <c r="F494" s="10">
        <v>58400.2</v>
      </c>
      <c r="H494">
        <v>0</v>
      </c>
      <c r="J494" s="10">
        <v>697154.6</v>
      </c>
      <c r="L494" s="1">
        <f t="shared" si="7"/>
        <v>697154.6</v>
      </c>
      <c r="N494" s="6" t="str">
        <f>IF(ISERROR(VLOOKUP($A494,'Plano de Contas'!#REF!,8,FALSE)),"",VLOOKUP($A494,'Plano de Contas'!#REF!,8,FALSE))</f>
        <v/>
      </c>
      <c r="P494" s="6" t="str">
        <f>IF(ISERROR(VLOOKUP($A494,'Plano de Contas'!#REF!,10,FALSE)),"",VLOOKUP($A494,'Plano de Contas'!#REF!,10,FALSE))</f>
        <v/>
      </c>
    </row>
    <row r="495" spans="1:16" x14ac:dyDescent="0.25">
      <c r="A495" t="s">
        <v>804</v>
      </c>
      <c r="B495">
        <v>706</v>
      </c>
      <c r="C495" t="s">
        <v>805</v>
      </c>
      <c r="D495" s="10">
        <v>21661.8</v>
      </c>
      <c r="F495" s="10">
        <v>2188.0500000000002</v>
      </c>
      <c r="H495">
        <v>0</v>
      </c>
      <c r="J495" s="10">
        <v>23849.85</v>
      </c>
      <c r="L495" s="1">
        <f t="shared" si="7"/>
        <v>23849.85</v>
      </c>
      <c r="N495" s="6" t="str">
        <f>IF(ISERROR(VLOOKUP($A495,'Plano de Contas'!#REF!,8,FALSE)),"",VLOOKUP($A495,'Plano de Contas'!#REF!,8,FALSE))</f>
        <v/>
      </c>
      <c r="P495" s="6" t="str">
        <f>IF(ISERROR(VLOOKUP($A495,'Plano de Contas'!#REF!,10,FALSE)),"",VLOOKUP($A495,'Plano de Contas'!#REF!,10,FALSE))</f>
        <v/>
      </c>
    </row>
    <row r="496" spans="1:16" x14ac:dyDescent="0.25">
      <c r="A496" t="s">
        <v>806</v>
      </c>
      <c r="B496">
        <v>707</v>
      </c>
      <c r="C496" t="s">
        <v>807</v>
      </c>
      <c r="D496">
        <v>33.340000000000003</v>
      </c>
      <c r="F496">
        <v>0</v>
      </c>
      <c r="H496">
        <v>0</v>
      </c>
      <c r="J496">
        <v>33.340000000000003</v>
      </c>
      <c r="L496" s="1">
        <f t="shared" si="7"/>
        <v>33.340000000000003</v>
      </c>
      <c r="N496" s="6" t="str">
        <f>IF(ISERROR(VLOOKUP($A496,'Plano de Contas'!#REF!,8,FALSE)),"",VLOOKUP($A496,'Plano de Contas'!#REF!,8,FALSE))</f>
        <v/>
      </c>
      <c r="P496" s="6" t="str">
        <f>IF(ISERROR(VLOOKUP($A496,'Plano de Contas'!#REF!,10,FALSE)),"",VLOOKUP($A496,'Plano de Contas'!#REF!,10,FALSE))</f>
        <v/>
      </c>
    </row>
    <row r="497" spans="1:16" x14ac:dyDescent="0.25">
      <c r="A497" t="s">
        <v>808</v>
      </c>
      <c r="B497">
        <v>708</v>
      </c>
      <c r="C497" t="s">
        <v>809</v>
      </c>
      <c r="D497" s="10">
        <v>408824.17</v>
      </c>
      <c r="F497" s="10">
        <v>35657.089999999997</v>
      </c>
      <c r="H497">
        <v>0</v>
      </c>
      <c r="J497" s="10">
        <v>444481.26</v>
      </c>
      <c r="L497" s="1">
        <f t="shared" si="7"/>
        <v>444481.26</v>
      </c>
      <c r="N497" s="6" t="str">
        <f>IF(ISERROR(VLOOKUP($A497,'Plano de Contas'!#REF!,8,FALSE)),"",VLOOKUP($A497,'Plano de Contas'!#REF!,8,FALSE))</f>
        <v/>
      </c>
      <c r="P497" s="6" t="str">
        <f>IF(ISERROR(VLOOKUP($A497,'Plano de Contas'!#REF!,10,FALSE)),"",VLOOKUP($A497,'Plano de Contas'!#REF!,10,FALSE))</f>
        <v/>
      </c>
    </row>
    <row r="498" spans="1:16" x14ac:dyDescent="0.25">
      <c r="A498" t="s">
        <v>810</v>
      </c>
      <c r="B498">
        <v>709</v>
      </c>
      <c r="C498" t="s">
        <v>811</v>
      </c>
      <c r="D498" s="10">
        <v>112913.78</v>
      </c>
      <c r="F498" s="10">
        <v>7521</v>
      </c>
      <c r="H498">
        <v>0</v>
      </c>
      <c r="J498" s="10">
        <v>120434.78</v>
      </c>
      <c r="L498" s="1">
        <f t="shared" si="7"/>
        <v>120434.78</v>
      </c>
      <c r="N498" s="6" t="str">
        <f>IF(ISERROR(VLOOKUP($A498,'Plano de Contas'!#REF!,8,FALSE)),"",VLOOKUP($A498,'Plano de Contas'!#REF!,8,FALSE))</f>
        <v/>
      </c>
      <c r="P498" s="6" t="str">
        <f>IF(ISERROR(VLOOKUP($A498,'Plano de Contas'!#REF!,10,FALSE)),"",VLOOKUP($A498,'Plano de Contas'!#REF!,10,FALSE))</f>
        <v/>
      </c>
    </row>
    <row r="499" spans="1:16" x14ac:dyDescent="0.25">
      <c r="A499" t="s">
        <v>812</v>
      </c>
      <c r="B499">
        <v>710</v>
      </c>
      <c r="C499" t="s">
        <v>813</v>
      </c>
      <c r="D499" s="10">
        <v>1258051.6200000001</v>
      </c>
      <c r="F499" s="10">
        <v>117338.38</v>
      </c>
      <c r="H499">
        <v>0</v>
      </c>
      <c r="J499" s="10">
        <v>1375390</v>
      </c>
      <c r="L499" s="1">
        <f t="shared" si="7"/>
        <v>1375390</v>
      </c>
      <c r="N499" s="6" t="str">
        <f>IF(ISERROR(VLOOKUP($A499,'Plano de Contas'!#REF!,8,FALSE)),"",VLOOKUP($A499,'Plano de Contas'!#REF!,8,FALSE))</f>
        <v/>
      </c>
      <c r="P499" s="6" t="str">
        <f>IF(ISERROR(VLOOKUP($A499,'Plano de Contas'!#REF!,10,FALSE)),"",VLOOKUP($A499,'Plano de Contas'!#REF!,10,FALSE))</f>
        <v/>
      </c>
    </row>
    <row r="500" spans="1:16" x14ac:dyDescent="0.25">
      <c r="A500" t="s">
        <v>814</v>
      </c>
      <c r="B500">
        <v>711</v>
      </c>
      <c r="C500" t="s">
        <v>815</v>
      </c>
      <c r="D500" s="10">
        <v>15203.98</v>
      </c>
      <c r="F500">
        <v>956.91</v>
      </c>
      <c r="H500">
        <v>0</v>
      </c>
      <c r="J500" s="10">
        <v>16160.89</v>
      </c>
      <c r="L500" s="1">
        <f t="shared" si="7"/>
        <v>16160.89</v>
      </c>
      <c r="N500" s="6" t="str">
        <f>IF(ISERROR(VLOOKUP($A500,'Plano de Contas'!#REF!,8,FALSE)),"",VLOOKUP($A500,'Plano de Contas'!#REF!,8,FALSE))</f>
        <v/>
      </c>
      <c r="P500" s="6" t="str">
        <f>IF(ISERROR(VLOOKUP($A500,'Plano de Contas'!#REF!,10,FALSE)),"",VLOOKUP($A500,'Plano de Contas'!#REF!,10,FALSE))</f>
        <v/>
      </c>
    </row>
    <row r="501" spans="1:16" x14ac:dyDescent="0.25">
      <c r="A501" t="s">
        <v>816</v>
      </c>
      <c r="B501">
        <v>712</v>
      </c>
      <c r="C501" t="s">
        <v>817</v>
      </c>
      <c r="D501" s="10">
        <v>43026.44</v>
      </c>
      <c r="F501" s="10">
        <v>3921.59</v>
      </c>
      <c r="H501">
        <v>0</v>
      </c>
      <c r="J501" s="10">
        <v>46948.03</v>
      </c>
      <c r="L501" s="1">
        <f t="shared" si="7"/>
        <v>46948.03</v>
      </c>
      <c r="N501" s="6" t="str">
        <f>IF(ISERROR(VLOOKUP($A501,'Plano de Contas'!#REF!,8,FALSE)),"",VLOOKUP($A501,'Plano de Contas'!#REF!,8,FALSE))</f>
        <v/>
      </c>
      <c r="P501" s="6" t="str">
        <f>IF(ISERROR(VLOOKUP($A501,'Plano de Contas'!#REF!,10,FALSE)),"",VLOOKUP($A501,'Plano de Contas'!#REF!,10,FALSE))</f>
        <v/>
      </c>
    </row>
    <row r="502" spans="1:16" x14ac:dyDescent="0.25">
      <c r="A502" t="s">
        <v>820</v>
      </c>
      <c r="B502">
        <v>829</v>
      </c>
      <c r="C502" t="s">
        <v>821</v>
      </c>
      <c r="D502" s="10">
        <v>59580.35</v>
      </c>
      <c r="F502" s="10">
        <v>6760</v>
      </c>
      <c r="H502">
        <v>0</v>
      </c>
      <c r="J502" s="10">
        <v>66340.350000000006</v>
      </c>
      <c r="L502" s="1">
        <f t="shared" si="7"/>
        <v>66340.350000000006</v>
      </c>
      <c r="N502" s="6" t="str">
        <f>IF(ISERROR(VLOOKUP($A502,'Plano de Contas'!#REF!,8,FALSE)),"",VLOOKUP($A502,'Plano de Contas'!#REF!,8,FALSE))</f>
        <v/>
      </c>
      <c r="P502" s="6" t="str">
        <f>IF(ISERROR(VLOOKUP($A502,'Plano de Contas'!#REF!,10,FALSE)),"",VLOOKUP($A502,'Plano de Contas'!#REF!,10,FALSE))</f>
        <v/>
      </c>
    </row>
    <row r="503" spans="1:16" x14ac:dyDescent="0.25">
      <c r="A503" t="s">
        <v>1064</v>
      </c>
      <c r="B503">
        <v>987</v>
      </c>
      <c r="C503" t="s">
        <v>1065</v>
      </c>
      <c r="D503">
        <v>0</v>
      </c>
      <c r="F503" s="10">
        <v>16360.7</v>
      </c>
      <c r="H503">
        <v>0</v>
      </c>
      <c r="J503" s="10">
        <v>16360.7</v>
      </c>
      <c r="L503" s="1">
        <f t="shared" si="7"/>
        <v>16360.7</v>
      </c>
      <c r="N503" s="6" t="str">
        <f>IF(ISERROR(VLOOKUP($A503,'Plano de Contas'!#REF!,8,FALSE)),"",VLOOKUP($A503,'Plano de Contas'!#REF!,8,FALSE))</f>
        <v/>
      </c>
      <c r="P503" s="6" t="str">
        <f>IF(ISERROR(VLOOKUP($A503,'Plano de Contas'!#REF!,10,FALSE)),"",VLOOKUP($A503,'Plano de Contas'!#REF!,10,FALSE))</f>
        <v/>
      </c>
    </row>
    <row r="504" spans="1:16" x14ac:dyDescent="0.25">
      <c r="L504" s="1">
        <f t="shared" si="7"/>
        <v>0</v>
      </c>
      <c r="N504" s="6" t="str">
        <f>IF(ISERROR(VLOOKUP($A504,'Plano de Contas'!#REF!,8,FALSE)),"",VLOOKUP($A504,'Plano de Contas'!#REF!,8,FALSE))</f>
        <v/>
      </c>
      <c r="P504" s="6" t="str">
        <f>IF(ISERROR(VLOOKUP($A504,'Plano de Contas'!#REF!,10,FALSE)),"",VLOOKUP($A504,'Plano de Contas'!#REF!,10,FALSE))</f>
        <v/>
      </c>
    </row>
    <row r="505" spans="1:16" x14ac:dyDescent="0.25">
      <c r="A505" t="s">
        <v>826</v>
      </c>
      <c r="B505">
        <v>237</v>
      </c>
      <c r="C505" t="s">
        <v>827</v>
      </c>
      <c r="D505" s="10">
        <v>48602506.439999998</v>
      </c>
      <c r="F505" s="10">
        <v>9249459.3800000008</v>
      </c>
      <c r="H505" s="10">
        <v>1510530.16</v>
      </c>
      <c r="I505" t="s">
        <v>35</v>
      </c>
      <c r="J505" s="10">
        <v>56341435.659999996</v>
      </c>
      <c r="L505" s="1">
        <f t="shared" si="7"/>
        <v>56341435.659999996</v>
      </c>
      <c r="N505" s="6" t="str">
        <f>IF(ISERROR(VLOOKUP($A505,'Plano de Contas'!#REF!,8,FALSE)),"",VLOOKUP($A505,'Plano de Contas'!#REF!,8,FALSE))</f>
        <v/>
      </c>
      <c r="P505" s="6" t="str">
        <f>IF(ISERROR(VLOOKUP($A505,'Plano de Contas'!#REF!,10,FALSE)),"",VLOOKUP($A505,'Plano de Contas'!#REF!,10,FALSE))</f>
        <v/>
      </c>
    </row>
    <row r="506" spans="1:16" x14ac:dyDescent="0.25">
      <c r="A506" t="s">
        <v>828</v>
      </c>
      <c r="B506">
        <v>238</v>
      </c>
      <c r="C506" t="s">
        <v>829</v>
      </c>
      <c r="D506" s="10">
        <v>2393414.9500000002</v>
      </c>
      <c r="F506" s="10">
        <v>88158.13</v>
      </c>
      <c r="H506">
        <v>0</v>
      </c>
      <c r="J506" s="10">
        <v>2481573.08</v>
      </c>
      <c r="L506" s="1">
        <f t="shared" si="7"/>
        <v>2481573.08</v>
      </c>
      <c r="N506" s="6" t="str">
        <f>IF(ISERROR(VLOOKUP($A506,'Plano de Contas'!#REF!,8,FALSE)),"",VLOOKUP($A506,'Plano de Contas'!#REF!,8,FALSE))</f>
        <v/>
      </c>
      <c r="P506" s="6" t="str">
        <f>IF(ISERROR(VLOOKUP($A506,'Plano de Contas'!#REF!,10,FALSE)),"",VLOOKUP($A506,'Plano de Contas'!#REF!,10,FALSE))</f>
        <v/>
      </c>
    </row>
    <row r="507" spans="1:16" x14ac:dyDescent="0.25">
      <c r="A507" t="s">
        <v>830</v>
      </c>
      <c r="B507">
        <v>239</v>
      </c>
      <c r="C507" t="s">
        <v>831</v>
      </c>
      <c r="D507" s="10">
        <v>1144784.3799999999</v>
      </c>
      <c r="F507" s="10">
        <v>128052.88</v>
      </c>
      <c r="H507">
        <v>0</v>
      </c>
      <c r="J507" s="10">
        <v>1272837.26</v>
      </c>
      <c r="L507" s="1">
        <f t="shared" si="7"/>
        <v>1272837.26</v>
      </c>
      <c r="N507" s="6" t="str">
        <f>IF(ISERROR(VLOOKUP($A507,'Plano de Contas'!#REF!,8,FALSE)),"",VLOOKUP($A507,'Plano de Contas'!#REF!,8,FALSE))</f>
        <v/>
      </c>
      <c r="P507" s="6" t="str">
        <f>IF(ISERROR(VLOOKUP($A507,'Plano de Contas'!#REF!,10,FALSE)),"",VLOOKUP($A507,'Plano de Contas'!#REF!,10,FALSE))</f>
        <v/>
      </c>
    </row>
    <row r="508" spans="1:16" x14ac:dyDescent="0.25">
      <c r="A508" t="s">
        <v>832</v>
      </c>
      <c r="B508">
        <v>240</v>
      </c>
      <c r="C508" t="s">
        <v>833</v>
      </c>
      <c r="D508" s="10">
        <v>436809.6</v>
      </c>
      <c r="F508" s="10">
        <v>32417.25</v>
      </c>
      <c r="H508">
        <v>0</v>
      </c>
      <c r="J508" s="10">
        <v>469226.85</v>
      </c>
      <c r="L508" s="1">
        <f t="shared" si="7"/>
        <v>469226.85</v>
      </c>
      <c r="N508" s="6" t="str">
        <f>IF(ISERROR(VLOOKUP($A508,'Plano de Contas'!#REF!,8,FALSE)),"",VLOOKUP($A508,'Plano de Contas'!#REF!,8,FALSE))</f>
        <v/>
      </c>
      <c r="P508" s="6" t="str">
        <f>IF(ISERROR(VLOOKUP($A508,'Plano de Contas'!#REF!,10,FALSE)),"",VLOOKUP($A508,'Plano de Contas'!#REF!,10,FALSE))</f>
        <v/>
      </c>
    </row>
    <row r="509" spans="1:16" x14ac:dyDescent="0.25">
      <c r="A509" t="s">
        <v>834</v>
      </c>
      <c r="B509">
        <v>242</v>
      </c>
      <c r="C509" t="s">
        <v>835</v>
      </c>
      <c r="D509" s="10">
        <v>300163.09000000003</v>
      </c>
      <c r="F509" s="10">
        <v>33318.019999999997</v>
      </c>
      <c r="H509" s="10">
        <v>87064.8</v>
      </c>
      <c r="J509" s="10">
        <v>246416.31</v>
      </c>
      <c r="L509" s="1">
        <f t="shared" si="7"/>
        <v>246416.31</v>
      </c>
      <c r="N509" s="6" t="str">
        <f>IF(ISERROR(VLOOKUP($A509,'Plano de Contas'!#REF!,8,FALSE)),"",VLOOKUP($A509,'Plano de Contas'!#REF!,8,FALSE))</f>
        <v/>
      </c>
      <c r="P509" s="6" t="str">
        <f>IF(ISERROR(VLOOKUP($A509,'Plano de Contas'!#REF!,10,FALSE)),"",VLOOKUP($A509,'Plano de Contas'!#REF!,10,FALSE))</f>
        <v/>
      </c>
    </row>
    <row r="510" spans="1:16" x14ac:dyDescent="0.25">
      <c r="A510" t="s">
        <v>836</v>
      </c>
      <c r="B510">
        <v>243</v>
      </c>
      <c r="C510" t="s">
        <v>837</v>
      </c>
      <c r="D510" s="10">
        <v>1859847.42</v>
      </c>
      <c r="F510" s="10">
        <v>171932.24</v>
      </c>
      <c r="H510">
        <v>0</v>
      </c>
      <c r="J510" s="10">
        <v>2031779.66</v>
      </c>
      <c r="L510" s="1">
        <f t="shared" si="7"/>
        <v>2031779.66</v>
      </c>
      <c r="N510" s="6" t="str">
        <f>IF(ISERROR(VLOOKUP($A510,'Plano de Contas'!#REF!,8,FALSE)),"",VLOOKUP($A510,'Plano de Contas'!#REF!,8,FALSE))</f>
        <v/>
      </c>
      <c r="P510" s="6" t="str">
        <f>IF(ISERROR(VLOOKUP($A510,'Plano de Contas'!#REF!,10,FALSE)),"",VLOOKUP($A510,'Plano de Contas'!#REF!,10,FALSE))</f>
        <v/>
      </c>
    </row>
    <row r="511" spans="1:16" x14ac:dyDescent="0.25">
      <c r="A511" t="s">
        <v>838</v>
      </c>
      <c r="B511">
        <v>244</v>
      </c>
      <c r="C511" t="s">
        <v>839</v>
      </c>
      <c r="D511" s="10">
        <v>27113.119999999999</v>
      </c>
      <c r="F511" s="10">
        <v>4357.57</v>
      </c>
      <c r="H511">
        <v>0</v>
      </c>
      <c r="J511" s="10">
        <v>31470.69</v>
      </c>
      <c r="L511" s="1">
        <f t="shared" si="7"/>
        <v>31470.69</v>
      </c>
      <c r="N511" s="6" t="str">
        <f>IF(ISERROR(VLOOKUP($A511,'Plano de Contas'!#REF!,8,FALSE)),"",VLOOKUP($A511,'Plano de Contas'!#REF!,8,FALSE))</f>
        <v/>
      </c>
      <c r="P511" s="6" t="str">
        <f>IF(ISERROR(VLOOKUP($A511,'Plano de Contas'!#REF!,10,FALSE)),"",VLOOKUP($A511,'Plano de Contas'!#REF!,10,FALSE))</f>
        <v/>
      </c>
    </row>
    <row r="512" spans="1:16" x14ac:dyDescent="0.25">
      <c r="A512" t="s">
        <v>840</v>
      </c>
      <c r="B512">
        <v>245</v>
      </c>
      <c r="C512" t="s">
        <v>841</v>
      </c>
      <c r="D512" s="10">
        <v>156492.72</v>
      </c>
      <c r="F512" s="10">
        <v>12676.17</v>
      </c>
      <c r="H512">
        <v>0</v>
      </c>
      <c r="J512" s="10">
        <v>169168.89</v>
      </c>
      <c r="L512" s="1">
        <f t="shared" si="7"/>
        <v>169168.89</v>
      </c>
      <c r="N512" s="6" t="str">
        <f>IF(ISERROR(VLOOKUP($A512,'Plano de Contas'!#REF!,8,FALSE)),"",VLOOKUP($A512,'Plano de Contas'!#REF!,8,FALSE))</f>
        <v/>
      </c>
      <c r="P512" s="6" t="str">
        <f>IF(ISERROR(VLOOKUP($A512,'Plano de Contas'!#REF!,10,FALSE)),"",VLOOKUP($A512,'Plano de Contas'!#REF!,10,FALSE))</f>
        <v/>
      </c>
    </row>
    <row r="513" spans="1:16" x14ac:dyDescent="0.25">
      <c r="A513" t="s">
        <v>842</v>
      </c>
      <c r="B513">
        <v>246</v>
      </c>
      <c r="C513" t="s">
        <v>843</v>
      </c>
      <c r="D513" s="10">
        <v>34396.17</v>
      </c>
      <c r="F513">
        <v>964.79</v>
      </c>
      <c r="H513">
        <v>0</v>
      </c>
      <c r="J513" s="10">
        <v>35360.959999999999</v>
      </c>
      <c r="L513" s="1">
        <f t="shared" si="7"/>
        <v>35360.959999999999</v>
      </c>
      <c r="N513" s="6" t="str">
        <f>IF(ISERROR(VLOOKUP($A513,'Plano de Contas'!#REF!,8,FALSE)),"",VLOOKUP($A513,'Plano de Contas'!#REF!,8,FALSE))</f>
        <v/>
      </c>
      <c r="P513" s="6" t="str">
        <f>IF(ISERROR(VLOOKUP($A513,'Plano de Contas'!#REF!,10,FALSE)),"",VLOOKUP($A513,'Plano de Contas'!#REF!,10,FALSE))</f>
        <v/>
      </c>
    </row>
    <row r="514" spans="1:16" x14ac:dyDescent="0.25">
      <c r="A514" t="s">
        <v>844</v>
      </c>
      <c r="B514">
        <v>247</v>
      </c>
      <c r="C514" t="s">
        <v>845</v>
      </c>
      <c r="D514" s="10">
        <v>5532.5</v>
      </c>
      <c r="F514" s="10">
        <v>1402.98</v>
      </c>
      <c r="H514">
        <v>0</v>
      </c>
      <c r="J514" s="10">
        <v>6935.48</v>
      </c>
      <c r="L514" s="1">
        <f t="shared" si="7"/>
        <v>6935.48</v>
      </c>
      <c r="N514" s="6" t="str">
        <f>IF(ISERROR(VLOOKUP($A514,'Plano de Contas'!#REF!,8,FALSE)),"",VLOOKUP($A514,'Plano de Contas'!#REF!,8,FALSE))</f>
        <v/>
      </c>
      <c r="P514" s="6" t="str">
        <f>IF(ISERROR(VLOOKUP($A514,'Plano de Contas'!#REF!,10,FALSE)),"",VLOOKUP($A514,'Plano de Contas'!#REF!,10,FALSE))</f>
        <v/>
      </c>
    </row>
    <row r="515" spans="1:16" x14ac:dyDescent="0.25">
      <c r="A515" t="s">
        <v>846</v>
      </c>
      <c r="B515">
        <v>248</v>
      </c>
      <c r="C515" t="s">
        <v>847</v>
      </c>
      <c r="D515" s="10">
        <v>67036.259999999995</v>
      </c>
      <c r="F515" s="10">
        <v>29866.86</v>
      </c>
      <c r="H515">
        <v>0</v>
      </c>
      <c r="J515" s="10">
        <v>96903.12</v>
      </c>
      <c r="L515" s="1">
        <f t="shared" si="7"/>
        <v>96903.12</v>
      </c>
      <c r="N515" s="6" t="str">
        <f>IF(ISERROR(VLOOKUP($A515,'Plano de Contas'!#REF!,8,FALSE)),"",VLOOKUP($A515,'Plano de Contas'!#REF!,8,FALSE))</f>
        <v/>
      </c>
      <c r="P515" s="6" t="str">
        <f>IF(ISERROR(VLOOKUP($A515,'Plano de Contas'!#REF!,10,FALSE)),"",VLOOKUP($A515,'Plano de Contas'!#REF!,10,FALSE))</f>
        <v/>
      </c>
    </row>
    <row r="516" spans="1:16" x14ac:dyDescent="0.25">
      <c r="A516" t="s">
        <v>848</v>
      </c>
      <c r="B516">
        <v>249</v>
      </c>
      <c r="C516" t="s">
        <v>849</v>
      </c>
      <c r="D516" s="10">
        <v>51475.96</v>
      </c>
      <c r="F516">
        <v>261.3</v>
      </c>
      <c r="H516">
        <v>0</v>
      </c>
      <c r="J516" s="10">
        <v>51737.26</v>
      </c>
      <c r="L516" s="1">
        <f t="shared" si="7"/>
        <v>51737.26</v>
      </c>
      <c r="N516" s="6" t="str">
        <f>IF(ISERROR(VLOOKUP($A516,'Plano de Contas'!#REF!,8,FALSE)),"",VLOOKUP($A516,'Plano de Contas'!#REF!,8,FALSE))</f>
        <v/>
      </c>
      <c r="P516" s="6" t="str">
        <f>IF(ISERROR(VLOOKUP($A516,'Plano de Contas'!#REF!,10,FALSE)),"",VLOOKUP($A516,'Plano de Contas'!#REF!,10,FALSE))</f>
        <v/>
      </c>
    </row>
    <row r="517" spans="1:16" x14ac:dyDescent="0.25">
      <c r="A517" t="s">
        <v>850</v>
      </c>
      <c r="B517">
        <v>250</v>
      </c>
      <c r="C517" t="s">
        <v>851</v>
      </c>
      <c r="D517" s="10">
        <v>424743.76</v>
      </c>
      <c r="F517" s="10">
        <v>40752.019999999997</v>
      </c>
      <c r="H517">
        <v>0</v>
      </c>
      <c r="J517" s="10">
        <v>465495.78</v>
      </c>
      <c r="L517" s="1">
        <f t="shared" si="7"/>
        <v>465495.78</v>
      </c>
      <c r="N517" s="6" t="str">
        <f>IF(ISERROR(VLOOKUP($A517,'Plano de Contas'!#REF!,8,FALSE)),"",VLOOKUP($A517,'Plano de Contas'!#REF!,8,FALSE))</f>
        <v/>
      </c>
      <c r="P517" s="6" t="str">
        <f>IF(ISERROR(VLOOKUP($A517,'Plano de Contas'!#REF!,10,FALSE)),"",VLOOKUP($A517,'Plano de Contas'!#REF!,10,FALSE))</f>
        <v/>
      </c>
    </row>
    <row r="518" spans="1:16" x14ac:dyDescent="0.25">
      <c r="A518" t="s">
        <v>852</v>
      </c>
      <c r="B518">
        <v>251</v>
      </c>
      <c r="C518" t="s">
        <v>853</v>
      </c>
      <c r="D518" s="10">
        <v>6058.86</v>
      </c>
      <c r="F518" s="10">
        <v>23878.81</v>
      </c>
      <c r="H518">
        <v>0</v>
      </c>
      <c r="J518" s="10">
        <v>29937.67</v>
      </c>
      <c r="L518" s="1">
        <f t="shared" si="7"/>
        <v>29937.67</v>
      </c>
      <c r="N518" s="6" t="str">
        <f>IF(ISERROR(VLOOKUP($A518,'Plano de Contas'!#REF!,8,FALSE)),"",VLOOKUP($A518,'Plano de Contas'!#REF!,8,FALSE))</f>
        <v/>
      </c>
      <c r="P518" s="6" t="str">
        <f>IF(ISERROR(VLOOKUP($A518,'Plano de Contas'!#REF!,10,FALSE)),"",VLOOKUP($A518,'Plano de Contas'!#REF!,10,FALSE))</f>
        <v/>
      </c>
    </row>
    <row r="519" spans="1:16" x14ac:dyDescent="0.25">
      <c r="A519" t="s">
        <v>854</v>
      </c>
      <c r="B519">
        <v>252</v>
      </c>
      <c r="C519" t="s">
        <v>855</v>
      </c>
      <c r="D519">
        <v>20</v>
      </c>
      <c r="F519">
        <v>0</v>
      </c>
      <c r="H519">
        <v>0</v>
      </c>
      <c r="J519">
        <v>20</v>
      </c>
      <c r="L519" s="1">
        <f t="shared" si="7"/>
        <v>20</v>
      </c>
      <c r="N519" s="6" t="str">
        <f>IF(ISERROR(VLOOKUP($A519,'Plano de Contas'!#REF!,8,FALSE)),"",VLOOKUP($A519,'Plano de Contas'!#REF!,8,FALSE))</f>
        <v/>
      </c>
      <c r="P519" s="6" t="str">
        <f>IF(ISERROR(VLOOKUP($A519,'Plano de Contas'!#REF!,10,FALSE)),"",VLOOKUP($A519,'Plano de Contas'!#REF!,10,FALSE))</f>
        <v/>
      </c>
    </row>
    <row r="520" spans="1:16" x14ac:dyDescent="0.25">
      <c r="A520" t="s">
        <v>856</v>
      </c>
      <c r="B520">
        <v>253</v>
      </c>
      <c r="C520" t="s">
        <v>857</v>
      </c>
      <c r="D520" s="10">
        <v>342847.53</v>
      </c>
      <c r="F520" s="10">
        <v>30007</v>
      </c>
      <c r="H520">
        <v>0</v>
      </c>
      <c r="J520" s="10">
        <v>372854.53</v>
      </c>
      <c r="L520" s="1">
        <f t="shared" ref="L520:L583" si="8">IF(K520="-",-J520,J520)</f>
        <v>372854.53</v>
      </c>
      <c r="N520" s="6" t="str">
        <f>IF(ISERROR(VLOOKUP($A520,'Plano de Contas'!#REF!,8,FALSE)),"",VLOOKUP($A520,'Plano de Contas'!#REF!,8,FALSE))</f>
        <v/>
      </c>
      <c r="P520" s="6" t="str">
        <f>IF(ISERROR(VLOOKUP($A520,'Plano de Contas'!#REF!,10,FALSE)),"",VLOOKUP($A520,'Plano de Contas'!#REF!,10,FALSE))</f>
        <v/>
      </c>
    </row>
    <row r="521" spans="1:16" x14ac:dyDescent="0.25">
      <c r="A521" t="s">
        <v>858</v>
      </c>
      <c r="B521">
        <v>254</v>
      </c>
      <c r="C521" t="s">
        <v>859</v>
      </c>
      <c r="D521" s="10">
        <v>11352885.970000001</v>
      </c>
      <c r="F521" s="10">
        <v>1931173.31</v>
      </c>
      <c r="H521">
        <v>0</v>
      </c>
      <c r="J521" s="10">
        <v>13284059.279999999</v>
      </c>
      <c r="L521" s="1">
        <f t="shared" si="8"/>
        <v>13284059.279999999</v>
      </c>
      <c r="N521" s="6" t="str">
        <f>IF(ISERROR(VLOOKUP($A521,'Plano de Contas'!#REF!,8,FALSE)),"",VLOOKUP($A521,'Plano de Contas'!#REF!,8,FALSE))</f>
        <v/>
      </c>
      <c r="P521" s="6" t="str">
        <f>IF(ISERROR(VLOOKUP($A521,'Plano de Contas'!#REF!,10,FALSE)),"",VLOOKUP($A521,'Plano de Contas'!#REF!,10,FALSE))</f>
        <v/>
      </c>
    </row>
    <row r="522" spans="1:16" x14ac:dyDescent="0.25">
      <c r="A522" t="s">
        <v>860</v>
      </c>
      <c r="B522">
        <v>255</v>
      </c>
      <c r="C522" t="s">
        <v>861</v>
      </c>
      <c r="D522" s="10">
        <v>1447153.29</v>
      </c>
      <c r="F522" s="10">
        <v>362096.57</v>
      </c>
      <c r="H522">
        <v>0</v>
      </c>
      <c r="J522" s="10">
        <v>1809249.86</v>
      </c>
      <c r="L522" s="1">
        <f t="shared" si="8"/>
        <v>1809249.86</v>
      </c>
      <c r="N522" s="6" t="str">
        <f>IF(ISERROR(VLOOKUP($A522,'Plano de Contas'!#REF!,8,FALSE)),"",VLOOKUP($A522,'Plano de Contas'!#REF!,8,FALSE))</f>
        <v/>
      </c>
      <c r="P522" s="6" t="str">
        <f>IF(ISERROR(VLOOKUP($A522,'Plano de Contas'!#REF!,10,FALSE)),"",VLOOKUP($A522,'Plano de Contas'!#REF!,10,FALSE))</f>
        <v/>
      </c>
    </row>
    <row r="523" spans="1:16" x14ac:dyDescent="0.25">
      <c r="A523" t="s">
        <v>862</v>
      </c>
      <c r="B523">
        <v>256</v>
      </c>
      <c r="C523" t="s">
        <v>863</v>
      </c>
      <c r="D523" s="10">
        <v>6112407.8799999999</v>
      </c>
      <c r="F523" s="10">
        <v>256822.57</v>
      </c>
      <c r="H523">
        <v>0</v>
      </c>
      <c r="J523" s="10">
        <v>6369230.4500000002</v>
      </c>
      <c r="L523" s="1">
        <f t="shared" si="8"/>
        <v>6369230.4500000002</v>
      </c>
      <c r="N523" s="6" t="str">
        <f>IF(ISERROR(VLOOKUP($A523,'Plano de Contas'!#REF!,8,FALSE)),"",VLOOKUP($A523,'Plano de Contas'!#REF!,8,FALSE))</f>
        <v/>
      </c>
      <c r="P523" s="6" t="str">
        <f>IF(ISERROR(VLOOKUP($A523,'Plano de Contas'!#REF!,10,FALSE)),"",VLOOKUP($A523,'Plano de Contas'!#REF!,10,FALSE))</f>
        <v/>
      </c>
    </row>
    <row r="524" spans="1:16" x14ac:dyDescent="0.25">
      <c r="A524" t="s">
        <v>864</v>
      </c>
      <c r="B524">
        <v>257</v>
      </c>
      <c r="C524" t="s">
        <v>865</v>
      </c>
      <c r="D524" s="10">
        <v>2888408.01</v>
      </c>
      <c r="F524" s="10">
        <v>241585.2</v>
      </c>
      <c r="H524" s="10">
        <v>5900</v>
      </c>
      <c r="J524" s="10">
        <v>3124093.21</v>
      </c>
      <c r="L524" s="1">
        <f t="shared" si="8"/>
        <v>3124093.21</v>
      </c>
      <c r="N524" s="6" t="str">
        <f>IF(ISERROR(VLOOKUP($A524,'Plano de Contas'!#REF!,8,FALSE)),"",VLOOKUP($A524,'Plano de Contas'!#REF!,8,FALSE))</f>
        <v/>
      </c>
      <c r="P524" s="6" t="str">
        <f>IF(ISERROR(VLOOKUP($A524,'Plano de Contas'!#REF!,10,FALSE)),"",VLOOKUP($A524,'Plano de Contas'!#REF!,10,FALSE))</f>
        <v/>
      </c>
    </row>
    <row r="525" spans="1:16" x14ac:dyDescent="0.25">
      <c r="A525" t="s">
        <v>866</v>
      </c>
      <c r="B525">
        <v>258</v>
      </c>
      <c r="C525" t="s">
        <v>867</v>
      </c>
      <c r="D525" s="10">
        <v>15514810.09</v>
      </c>
      <c r="F525" s="10">
        <v>1410437.25</v>
      </c>
      <c r="H525" s="10">
        <v>15018.28</v>
      </c>
      <c r="J525" s="10">
        <v>16910229.059999999</v>
      </c>
      <c r="L525" s="1">
        <f t="shared" si="8"/>
        <v>16910229.059999999</v>
      </c>
      <c r="N525" s="6" t="str">
        <f>IF(ISERROR(VLOOKUP($A525,'Plano de Contas'!#REF!,8,FALSE)),"",VLOOKUP($A525,'Plano de Contas'!#REF!,8,FALSE))</f>
        <v/>
      </c>
      <c r="P525" s="6" t="str">
        <f>IF(ISERROR(VLOOKUP($A525,'Plano de Contas'!#REF!,10,FALSE)),"",VLOOKUP($A525,'Plano de Contas'!#REF!,10,FALSE))</f>
        <v/>
      </c>
    </row>
    <row r="526" spans="1:16" x14ac:dyDescent="0.25">
      <c r="A526" t="s">
        <v>868</v>
      </c>
      <c r="B526">
        <v>259</v>
      </c>
      <c r="C526" t="s">
        <v>869</v>
      </c>
      <c r="D526" s="10">
        <v>5109.3599999999997</v>
      </c>
      <c r="F526" s="10">
        <v>4345.24</v>
      </c>
      <c r="H526">
        <v>0</v>
      </c>
      <c r="J526" s="10">
        <v>9454.6</v>
      </c>
      <c r="L526" s="1">
        <f t="shared" si="8"/>
        <v>9454.6</v>
      </c>
      <c r="N526" s="6" t="str">
        <f>IF(ISERROR(VLOOKUP($A526,'Plano de Contas'!#REF!,8,FALSE)),"",VLOOKUP($A526,'Plano de Contas'!#REF!,8,FALSE))</f>
        <v/>
      </c>
      <c r="P526" s="6" t="str">
        <f>IF(ISERROR(VLOOKUP($A526,'Plano de Contas'!#REF!,10,FALSE)),"",VLOOKUP($A526,'Plano de Contas'!#REF!,10,FALSE))</f>
        <v/>
      </c>
    </row>
    <row r="527" spans="1:16" x14ac:dyDescent="0.25">
      <c r="A527" t="s">
        <v>870</v>
      </c>
      <c r="B527">
        <v>260</v>
      </c>
      <c r="C527" t="s">
        <v>871</v>
      </c>
      <c r="D527" s="10">
        <v>122996.14</v>
      </c>
      <c r="F527" s="10">
        <v>11233.26</v>
      </c>
      <c r="H527">
        <v>0</v>
      </c>
      <c r="J527" s="10">
        <v>134229.4</v>
      </c>
      <c r="L527" s="1">
        <f t="shared" si="8"/>
        <v>134229.4</v>
      </c>
      <c r="N527" s="6" t="str">
        <f>IF(ISERROR(VLOOKUP($A527,'Plano de Contas'!#REF!,8,FALSE)),"",VLOOKUP($A527,'Plano de Contas'!#REF!,8,FALSE))</f>
        <v/>
      </c>
      <c r="P527" s="6" t="str">
        <f>IF(ISERROR(VLOOKUP($A527,'Plano de Contas'!#REF!,10,FALSE)),"",VLOOKUP($A527,'Plano de Contas'!#REF!,10,FALSE))</f>
        <v/>
      </c>
    </row>
    <row r="528" spans="1:16" x14ac:dyDescent="0.25">
      <c r="A528" t="s">
        <v>872</v>
      </c>
      <c r="B528">
        <v>262</v>
      </c>
      <c r="C528" t="s">
        <v>873</v>
      </c>
      <c r="D528" s="10">
        <v>422204.9</v>
      </c>
      <c r="F528" s="10">
        <v>34930.269999999997</v>
      </c>
      <c r="H528">
        <v>0</v>
      </c>
      <c r="J528" s="10">
        <v>457135.17</v>
      </c>
      <c r="L528" s="1">
        <f t="shared" si="8"/>
        <v>457135.17</v>
      </c>
      <c r="N528" s="6" t="str">
        <f>IF(ISERROR(VLOOKUP($A528,'Plano de Contas'!#REF!,8,FALSE)),"",VLOOKUP($A528,'Plano de Contas'!#REF!,8,FALSE))</f>
        <v/>
      </c>
      <c r="P528" s="6" t="str">
        <f>IF(ISERROR(VLOOKUP($A528,'Plano de Contas'!#REF!,10,FALSE)),"",VLOOKUP($A528,'Plano de Contas'!#REF!,10,FALSE))</f>
        <v/>
      </c>
    </row>
    <row r="529" spans="1:16" x14ac:dyDescent="0.25">
      <c r="A529" t="s">
        <v>874</v>
      </c>
      <c r="B529">
        <v>263</v>
      </c>
      <c r="C529" t="s">
        <v>875</v>
      </c>
      <c r="D529" s="10">
        <v>206144.7</v>
      </c>
      <c r="F529">
        <v>0</v>
      </c>
      <c r="H529">
        <v>0</v>
      </c>
      <c r="J529" s="10">
        <v>206144.7</v>
      </c>
      <c r="L529" s="1">
        <f t="shared" si="8"/>
        <v>206144.7</v>
      </c>
      <c r="N529" s="6" t="str">
        <f>IF(ISERROR(VLOOKUP($A529,'Plano de Contas'!#REF!,8,FALSE)),"",VLOOKUP($A529,'Plano de Contas'!#REF!,8,FALSE))</f>
        <v/>
      </c>
      <c r="P529" s="6" t="str">
        <f>IF(ISERROR(VLOOKUP($A529,'Plano de Contas'!#REF!,10,FALSE)),"",VLOOKUP($A529,'Plano de Contas'!#REF!,10,FALSE))</f>
        <v/>
      </c>
    </row>
    <row r="530" spans="1:16" x14ac:dyDescent="0.25">
      <c r="A530" t="s">
        <v>876</v>
      </c>
      <c r="B530">
        <v>264</v>
      </c>
      <c r="C530" t="s">
        <v>877</v>
      </c>
      <c r="D530" s="10">
        <v>3040</v>
      </c>
      <c r="F530">
        <v>0</v>
      </c>
      <c r="H530">
        <v>0</v>
      </c>
      <c r="J530" s="10">
        <v>3040</v>
      </c>
      <c r="L530" s="1">
        <f t="shared" si="8"/>
        <v>3040</v>
      </c>
      <c r="N530" s="6" t="str">
        <f>IF(ISERROR(VLOOKUP($A530,'Plano de Contas'!#REF!,8,FALSE)),"",VLOOKUP($A530,'Plano de Contas'!#REF!,8,FALSE))</f>
        <v/>
      </c>
      <c r="P530" s="6" t="str">
        <f>IF(ISERROR(VLOOKUP($A530,'Plano de Contas'!#REF!,10,FALSE)),"",VLOOKUP($A530,'Plano de Contas'!#REF!,10,FALSE))</f>
        <v/>
      </c>
    </row>
    <row r="531" spans="1:16" x14ac:dyDescent="0.25">
      <c r="A531" t="s">
        <v>878</v>
      </c>
      <c r="B531">
        <v>265</v>
      </c>
      <c r="C531" t="s">
        <v>879</v>
      </c>
      <c r="D531" s="10">
        <v>100276.98</v>
      </c>
      <c r="F531" s="10">
        <v>2349.8000000000002</v>
      </c>
      <c r="H531">
        <v>0</v>
      </c>
      <c r="J531" s="10">
        <v>102626.78</v>
      </c>
      <c r="L531" s="1">
        <f t="shared" si="8"/>
        <v>102626.78</v>
      </c>
      <c r="N531" s="6" t="str">
        <f>IF(ISERROR(VLOOKUP($A531,'Plano de Contas'!#REF!,8,FALSE)),"",VLOOKUP($A531,'Plano de Contas'!#REF!,8,FALSE))</f>
        <v/>
      </c>
      <c r="P531" s="6" t="str">
        <f>IF(ISERROR(VLOOKUP($A531,'Plano de Contas'!#REF!,10,FALSE)),"",VLOOKUP($A531,'Plano de Contas'!#REF!,10,FALSE))</f>
        <v/>
      </c>
    </row>
    <row r="532" spans="1:16" x14ac:dyDescent="0.25">
      <c r="A532" t="s">
        <v>880</v>
      </c>
      <c r="B532">
        <v>266</v>
      </c>
      <c r="C532" t="s">
        <v>881</v>
      </c>
      <c r="D532" s="10">
        <v>14285.96</v>
      </c>
      <c r="F532">
        <v>0</v>
      </c>
      <c r="H532">
        <v>0</v>
      </c>
      <c r="J532" s="10">
        <v>14285.96</v>
      </c>
      <c r="L532" s="1">
        <f t="shared" si="8"/>
        <v>14285.96</v>
      </c>
      <c r="N532" s="6" t="str">
        <f>IF(ISERROR(VLOOKUP($A532,'Plano de Contas'!#REF!,8,FALSE)),"",VLOOKUP($A532,'Plano de Contas'!#REF!,8,FALSE))</f>
        <v/>
      </c>
      <c r="P532" s="6" t="str">
        <f>IF(ISERROR(VLOOKUP($A532,'Plano de Contas'!#REF!,10,FALSE)),"",VLOOKUP($A532,'Plano de Contas'!#REF!,10,FALSE))</f>
        <v/>
      </c>
    </row>
    <row r="533" spans="1:16" x14ac:dyDescent="0.25">
      <c r="A533" t="s">
        <v>882</v>
      </c>
      <c r="B533">
        <v>267</v>
      </c>
      <c r="C533" t="s">
        <v>883</v>
      </c>
      <c r="D533" s="10">
        <v>4038.08</v>
      </c>
      <c r="F533">
        <v>0</v>
      </c>
      <c r="H533">
        <v>0</v>
      </c>
      <c r="J533" s="10">
        <v>4038.08</v>
      </c>
      <c r="L533" s="1">
        <f t="shared" si="8"/>
        <v>4038.08</v>
      </c>
      <c r="N533" s="6" t="str">
        <f>IF(ISERROR(VLOOKUP($A533,'Plano de Contas'!#REF!,8,FALSE)),"",VLOOKUP($A533,'Plano de Contas'!#REF!,8,FALSE))</f>
        <v/>
      </c>
      <c r="P533" s="6" t="str">
        <f>IF(ISERROR(VLOOKUP($A533,'Plano de Contas'!#REF!,10,FALSE)),"",VLOOKUP($A533,'Plano de Contas'!#REF!,10,FALSE))</f>
        <v/>
      </c>
    </row>
    <row r="534" spans="1:16" x14ac:dyDescent="0.25">
      <c r="A534" t="s">
        <v>884</v>
      </c>
      <c r="B534">
        <v>268</v>
      </c>
      <c r="C534" t="s">
        <v>885</v>
      </c>
      <c r="D534" s="10">
        <v>8603.65</v>
      </c>
      <c r="F534">
        <v>157.59</v>
      </c>
      <c r="H534">
        <v>0</v>
      </c>
      <c r="J534" s="10">
        <v>8761.24</v>
      </c>
      <c r="L534" s="1">
        <f t="shared" si="8"/>
        <v>8761.24</v>
      </c>
      <c r="N534" s="6" t="str">
        <f>IF(ISERROR(VLOOKUP($A534,'Plano de Contas'!#REF!,8,FALSE)),"",VLOOKUP($A534,'Plano de Contas'!#REF!,8,FALSE))</f>
        <v/>
      </c>
      <c r="P534" s="6" t="str">
        <f>IF(ISERROR(VLOOKUP($A534,'Plano de Contas'!#REF!,10,FALSE)),"",VLOOKUP($A534,'Plano de Contas'!#REF!,10,FALSE))</f>
        <v/>
      </c>
    </row>
    <row r="535" spans="1:16" x14ac:dyDescent="0.25">
      <c r="A535" t="s">
        <v>886</v>
      </c>
      <c r="B535">
        <v>269</v>
      </c>
      <c r="C535" t="s">
        <v>887</v>
      </c>
      <c r="D535" s="10">
        <v>118594.14</v>
      </c>
      <c r="F535" s="10">
        <v>11122.02</v>
      </c>
      <c r="H535">
        <v>0</v>
      </c>
      <c r="J535" s="10">
        <v>129716.16</v>
      </c>
      <c r="L535" s="1">
        <f t="shared" si="8"/>
        <v>129716.16</v>
      </c>
      <c r="N535" s="6" t="str">
        <f>IF(ISERROR(VLOOKUP($A535,'Plano de Contas'!#REF!,8,FALSE)),"",VLOOKUP($A535,'Plano de Contas'!#REF!,8,FALSE))</f>
        <v/>
      </c>
      <c r="P535" s="6" t="str">
        <f>IF(ISERROR(VLOOKUP($A535,'Plano de Contas'!#REF!,10,FALSE)),"",VLOOKUP($A535,'Plano de Contas'!#REF!,10,FALSE))</f>
        <v/>
      </c>
    </row>
    <row r="536" spans="1:16" x14ac:dyDescent="0.25">
      <c r="A536" t="s">
        <v>888</v>
      </c>
      <c r="B536">
        <v>270</v>
      </c>
      <c r="C536" t="s">
        <v>889</v>
      </c>
      <c r="D536" s="10">
        <v>449645.52</v>
      </c>
      <c r="F536" s="10">
        <v>7436.4</v>
      </c>
      <c r="H536">
        <v>0</v>
      </c>
      <c r="J536" s="10">
        <v>457081.92</v>
      </c>
      <c r="L536" s="1">
        <f t="shared" si="8"/>
        <v>457081.92</v>
      </c>
      <c r="N536" s="6" t="str">
        <f>IF(ISERROR(VLOOKUP($A536,'Plano de Contas'!#REF!,8,FALSE)),"",VLOOKUP($A536,'Plano de Contas'!#REF!,8,FALSE))</f>
        <v/>
      </c>
      <c r="P536" s="6" t="str">
        <f>IF(ISERROR(VLOOKUP($A536,'Plano de Contas'!#REF!,10,FALSE)),"",VLOOKUP($A536,'Plano de Contas'!#REF!,10,FALSE))</f>
        <v/>
      </c>
    </row>
    <row r="537" spans="1:16" x14ac:dyDescent="0.25">
      <c r="A537" t="s">
        <v>890</v>
      </c>
      <c r="B537">
        <v>272</v>
      </c>
      <c r="C537" t="s">
        <v>891</v>
      </c>
      <c r="D537">
        <v>704.6</v>
      </c>
      <c r="F537">
        <v>206</v>
      </c>
      <c r="H537">
        <v>0</v>
      </c>
      <c r="J537">
        <v>910.6</v>
      </c>
      <c r="L537" s="1">
        <f t="shared" si="8"/>
        <v>910.6</v>
      </c>
      <c r="N537" s="6" t="str">
        <f>IF(ISERROR(VLOOKUP($A537,'Plano de Contas'!#REF!,8,FALSE)),"",VLOOKUP($A537,'Plano de Contas'!#REF!,8,FALSE))</f>
        <v/>
      </c>
      <c r="P537" s="6" t="str">
        <f>IF(ISERROR(VLOOKUP($A537,'Plano de Contas'!#REF!,10,FALSE)),"",VLOOKUP($A537,'Plano de Contas'!#REF!,10,FALSE))</f>
        <v/>
      </c>
    </row>
    <row r="538" spans="1:16" x14ac:dyDescent="0.25">
      <c r="A538" t="s">
        <v>892</v>
      </c>
      <c r="B538">
        <v>273</v>
      </c>
      <c r="C538" t="s">
        <v>893</v>
      </c>
      <c r="D538" s="10">
        <v>1940.6</v>
      </c>
      <c r="F538" s="10">
        <v>2325.1999999999998</v>
      </c>
      <c r="H538">
        <v>0</v>
      </c>
      <c r="J538" s="10">
        <v>4265.8</v>
      </c>
      <c r="L538" s="1">
        <f t="shared" si="8"/>
        <v>4265.8</v>
      </c>
      <c r="N538" s="6" t="str">
        <f>IF(ISERROR(VLOOKUP($A538,'Plano de Contas'!#REF!,8,FALSE)),"",VLOOKUP($A538,'Plano de Contas'!#REF!,8,FALSE))</f>
        <v/>
      </c>
      <c r="P538" s="6" t="str">
        <f>IF(ISERROR(VLOOKUP($A538,'Plano de Contas'!#REF!,10,FALSE)),"",VLOOKUP($A538,'Plano de Contas'!#REF!,10,FALSE))</f>
        <v/>
      </c>
    </row>
    <row r="539" spans="1:16" x14ac:dyDescent="0.25">
      <c r="A539" t="s">
        <v>894</v>
      </c>
      <c r="B539">
        <v>274</v>
      </c>
      <c r="C539" t="s">
        <v>895</v>
      </c>
      <c r="D539" s="10">
        <v>68365.539999999994</v>
      </c>
      <c r="F539" s="10">
        <v>7596.16</v>
      </c>
      <c r="H539">
        <v>0</v>
      </c>
      <c r="J539" s="10">
        <v>75961.7</v>
      </c>
      <c r="L539" s="1">
        <f t="shared" si="8"/>
        <v>75961.7</v>
      </c>
      <c r="N539" s="6" t="str">
        <f>IF(ISERROR(VLOOKUP($A539,'Plano de Contas'!#REF!,8,FALSE)),"",VLOOKUP($A539,'Plano de Contas'!#REF!,8,FALSE))</f>
        <v/>
      </c>
      <c r="P539" s="6" t="str">
        <f>IF(ISERROR(VLOOKUP($A539,'Plano de Contas'!#REF!,10,FALSE)),"",VLOOKUP($A539,'Plano de Contas'!#REF!,10,FALSE))</f>
        <v/>
      </c>
    </row>
    <row r="540" spans="1:16" x14ac:dyDescent="0.25">
      <c r="A540" t="s">
        <v>896</v>
      </c>
      <c r="B540">
        <v>275</v>
      </c>
      <c r="C540" t="s">
        <v>897</v>
      </c>
      <c r="D540" s="10">
        <v>7192.46</v>
      </c>
      <c r="F540">
        <v>0</v>
      </c>
      <c r="H540">
        <v>0</v>
      </c>
      <c r="J540" s="10">
        <v>7192.46</v>
      </c>
      <c r="L540" s="1">
        <f t="shared" si="8"/>
        <v>7192.46</v>
      </c>
      <c r="N540" s="6" t="str">
        <f>IF(ISERROR(VLOOKUP($A540,'Plano de Contas'!#REF!,8,FALSE)),"",VLOOKUP($A540,'Plano de Contas'!#REF!,8,FALSE))</f>
        <v/>
      </c>
      <c r="P540" s="6" t="str">
        <f>IF(ISERROR(VLOOKUP($A540,'Plano de Contas'!#REF!,10,FALSE)),"",VLOOKUP($A540,'Plano de Contas'!#REF!,10,FALSE))</f>
        <v/>
      </c>
    </row>
    <row r="541" spans="1:16" x14ac:dyDescent="0.25">
      <c r="A541" t="s">
        <v>898</v>
      </c>
      <c r="B541">
        <v>276</v>
      </c>
      <c r="C541" t="s">
        <v>899</v>
      </c>
      <c r="D541" s="10">
        <v>172660.84</v>
      </c>
      <c r="F541" s="10">
        <v>81386.41</v>
      </c>
      <c r="H541">
        <v>0</v>
      </c>
      <c r="J541" s="10">
        <v>254047.25</v>
      </c>
      <c r="L541" s="1">
        <f t="shared" si="8"/>
        <v>254047.25</v>
      </c>
      <c r="N541" s="6" t="str">
        <f>IF(ISERROR(VLOOKUP($A541,'Plano de Contas'!#REF!,8,FALSE)),"",VLOOKUP($A541,'Plano de Contas'!#REF!,8,FALSE))</f>
        <v/>
      </c>
      <c r="P541" s="6" t="str">
        <f>IF(ISERROR(VLOOKUP($A541,'Plano de Contas'!#REF!,10,FALSE)),"",VLOOKUP($A541,'Plano de Contas'!#REF!,10,FALSE))</f>
        <v/>
      </c>
    </row>
    <row r="542" spans="1:16" x14ac:dyDescent="0.25">
      <c r="A542" t="s">
        <v>900</v>
      </c>
      <c r="B542">
        <v>426</v>
      </c>
      <c r="C542" t="s">
        <v>901</v>
      </c>
      <c r="D542" s="10">
        <v>275396.89</v>
      </c>
      <c r="F542" s="10">
        <v>28375.19</v>
      </c>
      <c r="H542">
        <v>0</v>
      </c>
      <c r="J542" s="10">
        <v>303772.08</v>
      </c>
      <c r="L542" s="1">
        <f t="shared" si="8"/>
        <v>303772.08</v>
      </c>
      <c r="N542" s="6" t="str">
        <f>IF(ISERROR(VLOOKUP($A542,'Plano de Contas'!#REF!,8,FALSE)),"",VLOOKUP($A542,'Plano de Contas'!#REF!,8,FALSE))</f>
        <v/>
      </c>
      <c r="P542" s="6" t="str">
        <f>IF(ISERROR(VLOOKUP($A542,'Plano de Contas'!#REF!,10,FALSE)),"",VLOOKUP($A542,'Plano de Contas'!#REF!,10,FALSE))</f>
        <v/>
      </c>
    </row>
    <row r="543" spans="1:16" x14ac:dyDescent="0.25">
      <c r="A543" t="s">
        <v>902</v>
      </c>
      <c r="B543">
        <v>439</v>
      </c>
      <c r="C543" t="s">
        <v>903</v>
      </c>
      <c r="D543">
        <v>-585</v>
      </c>
      <c r="F543">
        <v>0</v>
      </c>
      <c r="H543">
        <v>165</v>
      </c>
      <c r="J543">
        <v>750</v>
      </c>
      <c r="K543" t="s">
        <v>35</v>
      </c>
      <c r="L543" s="1">
        <f t="shared" si="8"/>
        <v>-750</v>
      </c>
      <c r="N543" s="6" t="str">
        <f>IF(ISERROR(VLOOKUP($A543,'Plano de Contas'!#REF!,8,FALSE)),"",VLOOKUP($A543,'Plano de Contas'!#REF!,8,FALSE))</f>
        <v/>
      </c>
      <c r="P543" s="6" t="str">
        <f>IF(ISERROR(VLOOKUP($A543,'Plano de Contas'!#REF!,10,FALSE)),"",VLOOKUP($A543,'Plano de Contas'!#REF!,10,FALSE))</f>
        <v/>
      </c>
    </row>
    <row r="544" spans="1:16" x14ac:dyDescent="0.25">
      <c r="A544" t="s">
        <v>904</v>
      </c>
      <c r="B544">
        <v>551</v>
      </c>
      <c r="C544" t="s">
        <v>905</v>
      </c>
      <c r="D544" s="10">
        <v>320873.74</v>
      </c>
      <c r="F544" s="10">
        <v>29170.34</v>
      </c>
      <c r="H544">
        <v>0</v>
      </c>
      <c r="J544" s="10">
        <v>350044.08</v>
      </c>
      <c r="L544" s="1">
        <f t="shared" si="8"/>
        <v>350044.08</v>
      </c>
      <c r="N544" s="6" t="str">
        <f>IF(ISERROR(VLOOKUP($A544,'Plano de Contas'!#REF!,8,FALSE)),"",VLOOKUP($A544,'Plano de Contas'!#REF!,8,FALSE))</f>
        <v/>
      </c>
      <c r="P544" s="6" t="str">
        <f>IF(ISERROR(VLOOKUP($A544,'Plano de Contas'!#REF!,10,FALSE)),"",VLOOKUP($A544,'Plano de Contas'!#REF!,10,FALSE))</f>
        <v/>
      </c>
    </row>
    <row r="545" spans="1:16" x14ac:dyDescent="0.25">
      <c r="A545" t="s">
        <v>906</v>
      </c>
      <c r="B545">
        <v>560</v>
      </c>
      <c r="C545" t="s">
        <v>907</v>
      </c>
      <c r="D545" s="10">
        <v>128857.83</v>
      </c>
      <c r="F545" s="10">
        <v>41025.949999999997</v>
      </c>
      <c r="H545">
        <v>0</v>
      </c>
      <c r="J545" s="10">
        <v>169883.78</v>
      </c>
      <c r="L545" s="1">
        <f t="shared" si="8"/>
        <v>169883.78</v>
      </c>
      <c r="N545" s="6" t="str">
        <f>IF(ISERROR(VLOOKUP($A545,'Plano de Contas'!#REF!,8,FALSE)),"",VLOOKUP($A545,'Plano de Contas'!#REF!,8,FALSE))</f>
        <v/>
      </c>
      <c r="P545" s="6" t="str">
        <f>IF(ISERROR(VLOOKUP($A545,'Plano de Contas'!#REF!,10,FALSE)),"",VLOOKUP($A545,'Plano de Contas'!#REF!,10,FALSE))</f>
        <v/>
      </c>
    </row>
    <row r="546" spans="1:16" x14ac:dyDescent="0.25">
      <c r="A546" t="s">
        <v>908</v>
      </c>
      <c r="B546">
        <v>592</v>
      </c>
      <c r="C546" t="s">
        <v>909</v>
      </c>
      <c r="D546" s="10">
        <v>117441</v>
      </c>
      <c r="F546">
        <v>0</v>
      </c>
      <c r="H546">
        <v>0</v>
      </c>
      <c r="J546" s="10">
        <v>117441</v>
      </c>
      <c r="L546" s="1">
        <f t="shared" si="8"/>
        <v>117441</v>
      </c>
      <c r="N546" s="6" t="str">
        <f>IF(ISERROR(VLOOKUP($A546,'Plano de Contas'!#REF!,8,FALSE)),"",VLOOKUP($A546,'Plano de Contas'!#REF!,8,FALSE))</f>
        <v/>
      </c>
      <c r="P546" s="6" t="str">
        <f>IF(ISERROR(VLOOKUP($A546,'Plano de Contas'!#REF!,10,FALSE)),"",VLOOKUP($A546,'Plano de Contas'!#REF!,10,FALSE))</f>
        <v/>
      </c>
    </row>
    <row r="547" spans="1:16" x14ac:dyDescent="0.25">
      <c r="A547" t="s">
        <v>910</v>
      </c>
      <c r="B547">
        <v>721</v>
      </c>
      <c r="C547" t="s">
        <v>911</v>
      </c>
      <c r="D547" s="10">
        <v>27846.16</v>
      </c>
      <c r="F547">
        <v>0</v>
      </c>
      <c r="H547">
        <v>0</v>
      </c>
      <c r="J547" s="10">
        <v>27846.16</v>
      </c>
      <c r="L547" s="1">
        <f t="shared" si="8"/>
        <v>27846.16</v>
      </c>
      <c r="N547" s="6" t="str">
        <f>IF(ISERROR(VLOOKUP($A547,'Plano de Contas'!#REF!,8,FALSE)),"",VLOOKUP($A547,'Plano de Contas'!#REF!,8,FALSE))</f>
        <v/>
      </c>
      <c r="P547" s="6" t="str">
        <f>IF(ISERROR(VLOOKUP($A547,'Plano de Contas'!#REF!,10,FALSE)),"",VLOOKUP($A547,'Plano de Contas'!#REF!,10,FALSE))</f>
        <v/>
      </c>
    </row>
    <row r="548" spans="1:16" x14ac:dyDescent="0.25">
      <c r="A548" t="s">
        <v>912</v>
      </c>
      <c r="B548">
        <v>912</v>
      </c>
      <c r="C548" t="s">
        <v>913</v>
      </c>
      <c r="D548" s="10">
        <v>25811.38</v>
      </c>
      <c r="E548" t="s">
        <v>35</v>
      </c>
      <c r="F548" s="10">
        <v>131561.21</v>
      </c>
      <c r="H548">
        <v>0</v>
      </c>
      <c r="J548" s="10">
        <v>105749.83</v>
      </c>
      <c r="L548" s="1">
        <f t="shared" si="8"/>
        <v>105749.83</v>
      </c>
      <c r="N548" s="6" t="str">
        <f>IF(ISERROR(VLOOKUP($A548,'Plano de Contas'!#REF!,8,FALSE)),"",VLOOKUP($A548,'Plano de Contas'!#REF!,8,FALSE))</f>
        <v/>
      </c>
      <c r="P548" s="6" t="str">
        <f>IF(ISERROR(VLOOKUP($A548,'Plano de Contas'!#REF!,10,FALSE)),"",VLOOKUP($A548,'Plano de Contas'!#REF!,10,FALSE))</f>
        <v/>
      </c>
    </row>
    <row r="549" spans="1:16" x14ac:dyDescent="0.25">
      <c r="A549" t="s">
        <v>1066</v>
      </c>
      <c r="B549">
        <v>976</v>
      </c>
      <c r="C549" t="s">
        <v>1067</v>
      </c>
      <c r="D549" s="10">
        <v>186905.08</v>
      </c>
      <c r="F549" s="10">
        <v>126150.94</v>
      </c>
      <c r="H549">
        <v>0</v>
      </c>
      <c r="J549" s="10">
        <v>313056.02</v>
      </c>
      <c r="L549" s="1">
        <f t="shared" si="8"/>
        <v>313056.02</v>
      </c>
      <c r="N549" s="6" t="str">
        <f>IF(ISERROR(VLOOKUP($A549,'Plano de Contas'!#REF!,8,FALSE)),"",VLOOKUP($A549,'Plano de Contas'!#REF!,8,FALSE))</f>
        <v/>
      </c>
      <c r="P549" s="6" t="str">
        <f>IF(ISERROR(VLOOKUP($A549,'Plano de Contas'!#REF!,10,FALSE)),"",VLOOKUP($A549,'Plano de Contas'!#REF!,10,FALSE))</f>
        <v/>
      </c>
    </row>
    <row r="550" spans="1:16" x14ac:dyDescent="0.25">
      <c r="A550" t="s">
        <v>1068</v>
      </c>
      <c r="B550">
        <v>450</v>
      </c>
      <c r="C550" t="s">
        <v>1069</v>
      </c>
      <c r="D550">
        <v>0</v>
      </c>
      <c r="F550" s="10">
        <v>2406935.8199999998</v>
      </c>
      <c r="H550" s="10">
        <v>1384874.14</v>
      </c>
      <c r="J550" s="10">
        <v>1022061.68</v>
      </c>
      <c r="L550" s="1">
        <f t="shared" si="8"/>
        <v>1022061.68</v>
      </c>
      <c r="N550" s="6" t="str">
        <f>IF(ISERROR(VLOOKUP($A550,'Plano de Contas'!#REF!,8,FALSE)),"",VLOOKUP($A550,'Plano de Contas'!#REF!,8,FALSE))</f>
        <v/>
      </c>
      <c r="P550" s="6" t="str">
        <f>IF(ISERROR(VLOOKUP($A550,'Plano de Contas'!#REF!,10,FALSE)),"",VLOOKUP($A550,'Plano de Contas'!#REF!,10,FALSE))</f>
        <v/>
      </c>
    </row>
    <row r="551" spans="1:16" x14ac:dyDescent="0.25">
      <c r="A551" t="s">
        <v>916</v>
      </c>
      <c r="B551">
        <v>467</v>
      </c>
      <c r="C551" t="s">
        <v>917</v>
      </c>
      <c r="D551" s="10">
        <v>1092605.5</v>
      </c>
      <c r="F551" s="10">
        <v>95659.98</v>
      </c>
      <c r="H551">
        <v>0</v>
      </c>
      <c r="J551" s="10">
        <v>1188265.48</v>
      </c>
      <c r="L551" s="1">
        <f t="shared" si="8"/>
        <v>1188265.48</v>
      </c>
      <c r="N551" s="6" t="str">
        <f>IF(ISERROR(VLOOKUP($A551,'Plano de Contas'!#REF!,8,FALSE)),"",VLOOKUP($A551,'Plano de Contas'!#REF!,8,FALSE))</f>
        <v/>
      </c>
      <c r="P551" s="6" t="str">
        <f>IF(ISERROR(VLOOKUP($A551,'Plano de Contas'!#REF!,10,FALSE)),"",VLOOKUP($A551,'Plano de Contas'!#REF!,10,FALSE))</f>
        <v/>
      </c>
    </row>
    <row r="552" spans="1:16" x14ac:dyDescent="0.25">
      <c r="A552" t="s">
        <v>1070</v>
      </c>
      <c r="B552">
        <v>958</v>
      </c>
      <c r="C552" t="s">
        <v>1071</v>
      </c>
      <c r="D552" s="10">
        <v>312631.59999999998</v>
      </c>
      <c r="F552">
        <v>0</v>
      </c>
      <c r="H552">
        <v>0</v>
      </c>
      <c r="J552" s="10">
        <v>312631.59999999998</v>
      </c>
      <c r="L552" s="1">
        <f t="shared" si="8"/>
        <v>312631.59999999998</v>
      </c>
      <c r="N552" s="6" t="str">
        <f>IF(ISERROR(VLOOKUP($A552,'Plano de Contas'!#REF!,8,FALSE)),"",VLOOKUP($A552,'Plano de Contas'!#REF!,8,FALSE))</f>
        <v/>
      </c>
      <c r="P552" s="6" t="str">
        <f>IF(ISERROR(VLOOKUP($A552,'Plano de Contas'!#REF!,10,FALSE)),"",VLOOKUP($A552,'Plano de Contas'!#REF!,10,FALSE))</f>
        <v/>
      </c>
    </row>
    <row r="553" spans="1:16" x14ac:dyDescent="0.25">
      <c r="A553" t="s">
        <v>1072</v>
      </c>
      <c r="B553">
        <v>1033</v>
      </c>
      <c r="C553" t="s">
        <v>1073</v>
      </c>
      <c r="D553">
        <v>0</v>
      </c>
      <c r="F553" s="10">
        <v>1417669.76</v>
      </c>
      <c r="H553">
        <v>0</v>
      </c>
      <c r="J553" s="10">
        <v>1417669.76</v>
      </c>
      <c r="L553" s="1">
        <f t="shared" si="8"/>
        <v>1417669.76</v>
      </c>
      <c r="N553" s="6" t="str">
        <f>IF(ISERROR(VLOOKUP($A553,'Plano de Contas'!#REF!,8,FALSE)),"",VLOOKUP($A553,'Plano de Contas'!#REF!,8,FALSE))</f>
        <v/>
      </c>
      <c r="P553" s="6" t="str">
        <f>IF(ISERROR(VLOOKUP($A553,'Plano de Contas'!#REF!,10,FALSE)),"",VLOOKUP($A553,'Plano de Contas'!#REF!,10,FALSE))</f>
        <v/>
      </c>
    </row>
    <row r="554" spans="1:16" x14ac:dyDescent="0.25">
      <c r="A554" t="s">
        <v>1074</v>
      </c>
      <c r="B554">
        <v>1036</v>
      </c>
      <c r="C554" t="s">
        <v>1075</v>
      </c>
      <c r="D554">
        <v>0</v>
      </c>
      <c r="F554" s="10">
        <v>3659.52</v>
      </c>
      <c r="H554" s="10">
        <v>2251.23</v>
      </c>
      <c r="J554" s="10">
        <f>1408.29+90160.74+220041.47</f>
        <v>311610.5</v>
      </c>
      <c r="L554" s="1">
        <f t="shared" si="8"/>
        <v>311610.5</v>
      </c>
      <c r="N554" s="6" t="str">
        <f>IF(ISERROR(VLOOKUP($A554,'Plano de Contas'!#REF!,8,FALSE)),"",VLOOKUP($A554,'Plano de Contas'!#REF!,8,FALSE))</f>
        <v/>
      </c>
      <c r="P554" s="6" t="str">
        <f>IF(ISERROR(VLOOKUP($A554,'Plano de Contas'!#REF!,10,FALSE)),"",VLOOKUP($A554,'Plano de Contas'!#REF!,10,FALSE))</f>
        <v/>
      </c>
    </row>
    <row r="555" spans="1:16" x14ac:dyDescent="0.25">
      <c r="A555" t="s">
        <v>918</v>
      </c>
      <c r="B555">
        <v>490</v>
      </c>
      <c r="C555" t="s">
        <v>919</v>
      </c>
      <c r="D555" s="10">
        <v>-105860.01</v>
      </c>
      <c r="F555" s="10">
        <v>6001.4</v>
      </c>
      <c r="H555" s="10">
        <v>15256.71</v>
      </c>
      <c r="J555" s="10">
        <v>115115.32</v>
      </c>
      <c r="K555" t="s">
        <v>35</v>
      </c>
      <c r="L555" s="1">
        <f t="shared" si="8"/>
        <v>-115115.32</v>
      </c>
      <c r="N555" s="6" t="str">
        <f>IF(ISERROR(VLOOKUP($A555,'Plano de Contas'!#REF!,8,FALSE)),"",VLOOKUP($A555,'Plano de Contas'!#REF!,8,FALSE))</f>
        <v/>
      </c>
      <c r="P555" s="6" t="str">
        <f>IF(ISERROR(VLOOKUP($A555,'Plano de Contas'!#REF!,10,FALSE)),"",VLOOKUP($A555,'Plano de Contas'!#REF!,10,FALSE))</f>
        <v/>
      </c>
    </row>
    <row r="556" spans="1:16" x14ac:dyDescent="0.25">
      <c r="L556" s="1">
        <f t="shared" si="8"/>
        <v>0</v>
      </c>
      <c r="N556" s="6" t="str">
        <f>IF(ISERROR(VLOOKUP($A556,'Plano de Contas'!#REF!,8,FALSE)),"",VLOOKUP($A556,'Plano de Contas'!#REF!,8,FALSE))</f>
        <v/>
      </c>
      <c r="P556" s="6" t="str">
        <f>IF(ISERROR(VLOOKUP($A556,'Plano de Contas'!#REF!,10,FALSE)),"",VLOOKUP($A556,'Plano de Contas'!#REF!,10,FALSE))</f>
        <v/>
      </c>
    </row>
    <row r="557" spans="1:16" x14ac:dyDescent="0.25">
      <c r="A557" t="s">
        <v>920</v>
      </c>
      <c r="B557">
        <v>277</v>
      </c>
      <c r="C557" t="s">
        <v>921</v>
      </c>
      <c r="D557" s="10">
        <v>318257.23</v>
      </c>
      <c r="F557" s="10">
        <v>590520.84</v>
      </c>
      <c r="H557">
        <v>827.9</v>
      </c>
      <c r="I557" t="s">
        <v>35</v>
      </c>
      <c r="J557" s="10">
        <v>907950.17</v>
      </c>
      <c r="L557" s="1">
        <f t="shared" si="8"/>
        <v>907950.17</v>
      </c>
      <c r="N557" s="6" t="str">
        <f>IF(ISERROR(VLOOKUP($A557,'Plano de Contas'!#REF!,8,FALSE)),"",VLOOKUP($A557,'Plano de Contas'!#REF!,8,FALSE))</f>
        <v/>
      </c>
      <c r="P557" s="6" t="str">
        <f>IF(ISERROR(VLOOKUP($A557,'Plano de Contas'!#REF!,10,FALSE)),"",VLOOKUP($A557,'Plano de Contas'!#REF!,10,FALSE))</f>
        <v/>
      </c>
    </row>
    <row r="558" spans="1:16" x14ac:dyDescent="0.25">
      <c r="A558" t="s">
        <v>1076</v>
      </c>
      <c r="B558">
        <v>278</v>
      </c>
      <c r="C558" t="s">
        <v>1077</v>
      </c>
      <c r="D558">
        <v>0</v>
      </c>
      <c r="F558" s="10">
        <v>90160.74</v>
      </c>
      <c r="H558">
        <v>0</v>
      </c>
      <c r="J558" s="10">
        <f>90160.74*0+4319049.47-3935363.79</f>
        <v>383685.6799999997</v>
      </c>
      <c r="L558" s="1">
        <f t="shared" si="8"/>
        <v>383685.6799999997</v>
      </c>
      <c r="N558" s="6" t="str">
        <f>IF(ISERROR(VLOOKUP($A558,'Plano de Contas'!#REF!,8,FALSE)),"",VLOOKUP($A558,'Plano de Contas'!#REF!,8,FALSE))</f>
        <v/>
      </c>
      <c r="P558" s="6" t="str">
        <f>IF(ISERROR(VLOOKUP($A558,'Plano de Contas'!#REF!,10,FALSE)),"",VLOOKUP($A558,'Plano de Contas'!#REF!,10,FALSE))</f>
        <v/>
      </c>
    </row>
    <row r="559" spans="1:16" x14ac:dyDescent="0.25">
      <c r="A559" t="s">
        <v>1078</v>
      </c>
      <c r="B559">
        <v>279</v>
      </c>
      <c r="C559" t="s">
        <v>1079</v>
      </c>
      <c r="D559" s="10">
        <v>27280.83</v>
      </c>
      <c r="F559" s="10">
        <v>193588.54</v>
      </c>
      <c r="H559">
        <v>827.9</v>
      </c>
      <c r="J559" s="10">
        <f>220041.47*0+1563497.81-1416730.97</f>
        <v>146766.84000000008</v>
      </c>
      <c r="L559" s="1">
        <f t="shared" si="8"/>
        <v>146766.84000000008</v>
      </c>
      <c r="N559" s="6" t="str">
        <f>IF(ISERROR(VLOOKUP($A559,'Plano de Contas'!#REF!,8,FALSE)),"",VLOOKUP($A559,'Plano de Contas'!#REF!,8,FALSE))</f>
        <v/>
      </c>
      <c r="P559" s="6" t="str">
        <f>IF(ISERROR(VLOOKUP($A559,'Plano de Contas'!#REF!,10,FALSE)),"",VLOOKUP($A559,'Plano de Contas'!#REF!,10,FALSE))</f>
        <v/>
      </c>
    </row>
    <row r="560" spans="1:16" x14ac:dyDescent="0.25">
      <c r="A560" t="s">
        <v>924</v>
      </c>
      <c r="B560">
        <v>282</v>
      </c>
      <c r="C560" t="s">
        <v>925</v>
      </c>
      <c r="D560" s="10">
        <v>67269.47</v>
      </c>
      <c r="F560">
        <v>448.94</v>
      </c>
      <c r="H560">
        <v>0</v>
      </c>
      <c r="J560" s="10">
        <v>67718.41</v>
      </c>
      <c r="L560" s="1">
        <f t="shared" si="8"/>
        <v>67718.41</v>
      </c>
      <c r="N560" s="6" t="str">
        <f>IF(ISERROR(VLOOKUP($A560,'Plano de Contas'!#REF!,8,FALSE)),"",VLOOKUP($A560,'Plano de Contas'!#REF!,8,FALSE))</f>
        <v/>
      </c>
      <c r="P560" s="6" t="str">
        <f>IF(ISERROR(VLOOKUP($A560,'Plano de Contas'!#REF!,10,FALSE)),"",VLOOKUP($A560,'Plano de Contas'!#REF!,10,FALSE))</f>
        <v/>
      </c>
    </row>
    <row r="561" spans="1:16" x14ac:dyDescent="0.25">
      <c r="A561" t="s">
        <v>928</v>
      </c>
      <c r="B561">
        <v>700</v>
      </c>
      <c r="C561" t="s">
        <v>929</v>
      </c>
      <c r="D561" s="10">
        <v>41416.699999999997</v>
      </c>
      <c r="F561" s="10">
        <v>6252.23</v>
      </c>
      <c r="H561">
        <v>0</v>
      </c>
      <c r="J561" s="10">
        <v>47668.93</v>
      </c>
      <c r="L561" s="1">
        <f t="shared" si="8"/>
        <v>47668.93</v>
      </c>
      <c r="N561" s="6" t="str">
        <f>IF(ISERROR(VLOOKUP($A561,'Plano de Contas'!#REF!,8,FALSE)),"",VLOOKUP($A561,'Plano de Contas'!#REF!,8,FALSE))</f>
        <v/>
      </c>
      <c r="P561" s="6" t="str">
        <f>IF(ISERROR(VLOOKUP($A561,'Plano de Contas'!#REF!,10,FALSE)),"",VLOOKUP($A561,'Plano de Contas'!#REF!,10,FALSE))</f>
        <v/>
      </c>
    </row>
    <row r="562" spans="1:16" x14ac:dyDescent="0.25">
      <c r="A562" t="s">
        <v>930</v>
      </c>
      <c r="B562">
        <v>701</v>
      </c>
      <c r="C562" t="s">
        <v>554</v>
      </c>
      <c r="D562" s="10">
        <v>182290.23</v>
      </c>
      <c r="F562" s="10">
        <v>24350.36</v>
      </c>
      <c r="H562">
        <v>0</v>
      </c>
      <c r="J562" s="10">
        <v>206640.59</v>
      </c>
      <c r="L562" s="1">
        <f t="shared" si="8"/>
        <v>206640.59</v>
      </c>
      <c r="N562" s="6" t="str">
        <f>IF(ISERROR(VLOOKUP($A562,'Plano de Contas'!#REF!,8,FALSE)),"",VLOOKUP($A562,'Plano de Contas'!#REF!,8,FALSE))</f>
        <v/>
      </c>
      <c r="P562" s="6" t="str">
        <f>IF(ISERROR(VLOOKUP($A562,'Plano de Contas'!#REF!,10,FALSE)),"",VLOOKUP($A562,'Plano de Contas'!#REF!,10,FALSE))</f>
        <v/>
      </c>
    </row>
    <row r="563" spans="1:16" x14ac:dyDescent="0.25">
      <c r="A563" t="s">
        <v>1080</v>
      </c>
      <c r="B563">
        <v>1032</v>
      </c>
      <c r="C563" t="s">
        <v>761</v>
      </c>
      <c r="D563">
        <v>0</v>
      </c>
      <c r="F563" s="10">
        <v>275720.03000000003</v>
      </c>
      <c r="H563">
        <v>0</v>
      </c>
      <c r="J563" s="10">
        <v>275720.03000000003</v>
      </c>
      <c r="L563" s="1">
        <f t="shared" si="8"/>
        <v>275720.03000000003</v>
      </c>
      <c r="N563" s="6" t="str">
        <f>IF(ISERROR(VLOOKUP($A563,'Plano de Contas'!#REF!,8,FALSE)),"",VLOOKUP($A563,'Plano de Contas'!#REF!,8,FALSE))</f>
        <v/>
      </c>
      <c r="P563" s="6" t="str">
        <f>IF(ISERROR(VLOOKUP($A563,'Plano de Contas'!#REF!,10,FALSE)),"",VLOOKUP($A563,'Plano de Contas'!#REF!,10,FALSE))</f>
        <v/>
      </c>
    </row>
    <row r="564" spans="1:16" x14ac:dyDescent="0.25">
      <c r="L564" s="1">
        <f t="shared" si="8"/>
        <v>0</v>
      </c>
      <c r="N564" s="6" t="str">
        <f>IF(ISERROR(VLOOKUP($A564,'Plano de Contas'!#REF!,8,FALSE)),"",VLOOKUP($A564,'Plano de Contas'!#REF!,8,FALSE))</f>
        <v/>
      </c>
      <c r="P564" s="6" t="str">
        <f>IF(ISERROR(VLOOKUP($A564,'Plano de Contas'!#REF!,10,FALSE)),"",VLOOKUP($A564,'Plano de Contas'!#REF!,10,FALSE))</f>
        <v/>
      </c>
    </row>
    <row r="565" spans="1:16" x14ac:dyDescent="0.25">
      <c r="A565" t="s">
        <v>1081</v>
      </c>
      <c r="B565">
        <v>723</v>
      </c>
      <c r="C565" t="s">
        <v>1082</v>
      </c>
      <c r="D565">
        <v>0</v>
      </c>
      <c r="F565" s="10">
        <v>392872.09</v>
      </c>
      <c r="H565">
        <v>0</v>
      </c>
      <c r="J565" s="10">
        <v>392872.09</v>
      </c>
      <c r="L565" s="1">
        <f t="shared" si="8"/>
        <v>392872.09</v>
      </c>
      <c r="N565" s="6" t="str">
        <f>IF(ISERROR(VLOOKUP($A565,'Plano de Contas'!#REF!,8,FALSE)),"",VLOOKUP($A565,'Plano de Contas'!#REF!,8,FALSE))</f>
        <v/>
      </c>
      <c r="P565" s="6" t="str">
        <f>IF(ISERROR(VLOOKUP($A565,'Plano de Contas'!#REF!,10,FALSE)),"",VLOOKUP($A565,'Plano de Contas'!#REF!,10,FALSE))</f>
        <v/>
      </c>
    </row>
    <row r="566" spans="1:16" x14ac:dyDescent="0.25">
      <c r="A566" t="s">
        <v>1083</v>
      </c>
      <c r="B566">
        <v>879</v>
      </c>
      <c r="C566" t="s">
        <v>1084</v>
      </c>
      <c r="D566">
        <v>0</v>
      </c>
      <c r="F566" s="10">
        <v>363426.3</v>
      </c>
      <c r="H566">
        <v>0</v>
      </c>
      <c r="J566" s="10">
        <v>363426.3</v>
      </c>
      <c r="L566" s="1">
        <f t="shared" si="8"/>
        <v>363426.3</v>
      </c>
      <c r="N566" s="6" t="str">
        <f>IF(ISERROR(VLOOKUP($A566,'Plano de Contas'!#REF!,8,FALSE)),"",VLOOKUP($A566,'Plano de Contas'!#REF!,8,FALSE))</f>
        <v/>
      </c>
      <c r="P566" s="6" t="str">
        <f>IF(ISERROR(VLOOKUP($A566,'Plano de Contas'!#REF!,10,FALSE)),"",VLOOKUP($A566,'Plano de Contas'!#REF!,10,FALSE))</f>
        <v/>
      </c>
    </row>
    <row r="567" spans="1:16" x14ac:dyDescent="0.25">
      <c r="A567" t="s">
        <v>1085</v>
      </c>
      <c r="B567">
        <v>995</v>
      </c>
      <c r="C567" t="s">
        <v>1086</v>
      </c>
      <c r="D567">
        <v>0</v>
      </c>
      <c r="F567" s="10">
        <v>29445.79</v>
      </c>
      <c r="H567">
        <v>0</v>
      </c>
      <c r="J567" s="10">
        <v>29445.79</v>
      </c>
      <c r="L567" s="1">
        <f t="shared" si="8"/>
        <v>29445.79</v>
      </c>
      <c r="N567" s="6" t="str">
        <f>IF(ISERROR(VLOOKUP($A567,'Plano de Contas'!#REF!,8,FALSE)),"",VLOOKUP($A567,'Plano de Contas'!#REF!,8,FALSE))</f>
        <v/>
      </c>
      <c r="P567" s="6" t="str">
        <f>IF(ISERROR(VLOOKUP($A567,'Plano de Contas'!#REF!,10,FALSE)),"",VLOOKUP($A567,'Plano de Contas'!#REF!,10,FALSE))</f>
        <v/>
      </c>
    </row>
    <row r="568" spans="1:16" x14ac:dyDescent="0.25">
      <c r="L568" s="1">
        <f t="shared" si="8"/>
        <v>0</v>
      </c>
      <c r="N568" s="6" t="str">
        <f>IF(ISERROR(VLOOKUP($A568,'Plano de Contas'!#REF!,8,FALSE)),"",VLOOKUP($A568,'Plano de Contas'!#REF!,8,FALSE))</f>
        <v/>
      </c>
      <c r="P568" s="6" t="str">
        <f>IF(ISERROR(VLOOKUP($A568,'Plano de Contas'!#REF!,10,FALSE)),"",VLOOKUP($A568,'Plano de Contas'!#REF!,10,FALSE))</f>
        <v/>
      </c>
    </row>
    <row r="569" spans="1:16" x14ac:dyDescent="0.25">
      <c r="A569" t="s">
        <v>931</v>
      </c>
      <c r="B569">
        <v>733</v>
      </c>
      <c r="C569" t="s">
        <v>932</v>
      </c>
      <c r="D569" s="10">
        <v>5891245.5300000003</v>
      </c>
      <c r="E569" t="s">
        <v>35</v>
      </c>
      <c r="F569">
        <v>0</v>
      </c>
      <c r="H569" s="10">
        <v>1221500</v>
      </c>
      <c r="I569" t="s">
        <v>35</v>
      </c>
      <c r="J569" s="10">
        <v>7112745.5300000003</v>
      </c>
      <c r="K569" t="s">
        <v>35</v>
      </c>
      <c r="L569" s="1">
        <f t="shared" si="8"/>
        <v>-7112745.5300000003</v>
      </c>
      <c r="N569" s="6" t="str">
        <f>IF(ISERROR(VLOOKUP($A569,'Plano de Contas'!#REF!,8,FALSE)),"",VLOOKUP($A569,'Plano de Contas'!#REF!,8,FALSE))</f>
        <v/>
      </c>
      <c r="P569" s="6" t="str">
        <f>IF(ISERROR(VLOOKUP($A569,'Plano de Contas'!#REF!,10,FALSE)),"",VLOOKUP($A569,'Plano de Contas'!#REF!,10,FALSE))</f>
        <v/>
      </c>
    </row>
    <row r="570" spans="1:16" x14ac:dyDescent="0.25">
      <c r="A570" t="s">
        <v>933</v>
      </c>
      <c r="B570">
        <v>880</v>
      </c>
      <c r="C570" t="s">
        <v>934</v>
      </c>
      <c r="D570" s="10">
        <v>-5822245.5300000003</v>
      </c>
      <c r="F570">
        <v>0</v>
      </c>
      <c r="H570" s="10">
        <v>1220000</v>
      </c>
      <c r="J570" s="10">
        <v>7042245.5300000003</v>
      </c>
      <c r="K570" t="s">
        <v>35</v>
      </c>
      <c r="L570" s="1">
        <f t="shared" si="8"/>
        <v>-7042245.5300000003</v>
      </c>
      <c r="N570" s="6" t="str">
        <f>IF(ISERROR(VLOOKUP($A570,'Plano de Contas'!#REF!,8,FALSE)),"",VLOOKUP($A570,'Plano de Contas'!#REF!,8,FALSE))</f>
        <v/>
      </c>
      <c r="P570" s="6" t="str">
        <f>IF(ISERROR(VLOOKUP($A570,'Plano de Contas'!#REF!,10,FALSE)),"",VLOOKUP($A570,'Plano de Contas'!#REF!,10,FALSE))</f>
        <v/>
      </c>
    </row>
    <row r="571" spans="1:16" x14ac:dyDescent="0.25">
      <c r="A571" t="s">
        <v>935</v>
      </c>
      <c r="B571">
        <v>881</v>
      </c>
      <c r="C571" t="s">
        <v>936</v>
      </c>
      <c r="D571" s="10">
        <v>69000</v>
      </c>
      <c r="E571" t="s">
        <v>35</v>
      </c>
      <c r="F571">
        <v>0</v>
      </c>
      <c r="H571" s="10">
        <v>1500</v>
      </c>
      <c r="I571" t="s">
        <v>35</v>
      </c>
      <c r="J571" s="10">
        <v>70500</v>
      </c>
      <c r="K571" t="s">
        <v>35</v>
      </c>
      <c r="L571" s="1">
        <f t="shared" si="8"/>
        <v>-70500</v>
      </c>
      <c r="N571" s="6" t="str">
        <f>IF(ISERROR(VLOOKUP($A571,'Plano de Contas'!#REF!,8,FALSE)),"",VLOOKUP($A571,'Plano de Contas'!#REF!,8,FALSE))</f>
        <v/>
      </c>
      <c r="P571" s="6" t="str">
        <f>IF(ISERROR(VLOOKUP($A571,'Plano de Contas'!#REF!,10,FALSE)),"",VLOOKUP($A571,'Plano de Contas'!#REF!,10,FALSE))</f>
        <v/>
      </c>
    </row>
    <row r="572" spans="1:16" x14ac:dyDescent="0.25">
      <c r="L572" s="1">
        <f t="shared" si="8"/>
        <v>0</v>
      </c>
      <c r="N572" s="6" t="str">
        <f>IF(ISERROR(VLOOKUP($A572,'Plano de Contas'!#REF!,8,FALSE)),"",VLOOKUP($A572,'Plano de Contas'!#REF!,8,FALSE))</f>
        <v/>
      </c>
      <c r="P572" s="6" t="str">
        <f>IF(ISERROR(VLOOKUP($A572,'Plano de Contas'!#REF!,10,FALSE)),"",VLOOKUP($A572,'Plano de Contas'!#REF!,10,FALSE))</f>
        <v/>
      </c>
    </row>
    <row r="573" spans="1:16" x14ac:dyDescent="0.25">
      <c r="A573" t="s">
        <v>937</v>
      </c>
      <c r="B573">
        <v>285</v>
      </c>
      <c r="C573" t="s">
        <v>938</v>
      </c>
      <c r="D573" s="10">
        <v>4305593.8</v>
      </c>
      <c r="E573" t="s">
        <v>35</v>
      </c>
      <c r="F573" s="10">
        <v>150734.39999999999</v>
      </c>
      <c r="H573" s="10">
        <v>979126.25</v>
      </c>
      <c r="I573" t="s">
        <v>35</v>
      </c>
      <c r="J573" s="10">
        <v>5133985.6500000004</v>
      </c>
      <c r="K573" t="s">
        <v>35</v>
      </c>
      <c r="L573" s="1">
        <f t="shared" si="8"/>
        <v>-5133985.6500000004</v>
      </c>
      <c r="N573" s="6" t="str">
        <f>IF(ISERROR(VLOOKUP($A573,'Plano de Contas'!#REF!,8,FALSE)),"",VLOOKUP($A573,'Plano de Contas'!#REF!,8,FALSE))</f>
        <v/>
      </c>
      <c r="P573" s="6" t="str">
        <f>IF(ISERROR(VLOOKUP($A573,'Plano de Contas'!#REF!,10,FALSE)),"",VLOOKUP($A573,'Plano de Contas'!#REF!,10,FALSE))</f>
        <v/>
      </c>
    </row>
    <row r="574" spans="1:16" x14ac:dyDescent="0.25">
      <c r="L574" s="1">
        <f t="shared" si="8"/>
        <v>0</v>
      </c>
      <c r="N574" s="6" t="str">
        <f>IF(ISERROR(VLOOKUP($A574,'Plano de Contas'!#REF!,8,FALSE)),"",VLOOKUP($A574,'Plano de Contas'!#REF!,8,FALSE))</f>
        <v/>
      </c>
      <c r="P574" s="6" t="str">
        <f>IF(ISERROR(VLOOKUP($A574,'Plano de Contas'!#REF!,10,FALSE)),"",VLOOKUP($A574,'Plano de Contas'!#REF!,10,FALSE))</f>
        <v/>
      </c>
    </row>
    <row r="575" spans="1:16" x14ac:dyDescent="0.25">
      <c r="A575" t="s">
        <v>939</v>
      </c>
      <c r="B575">
        <v>286</v>
      </c>
      <c r="C575" t="s">
        <v>940</v>
      </c>
      <c r="D575" s="10">
        <v>7783621.5</v>
      </c>
      <c r="E575" t="s">
        <v>35</v>
      </c>
      <c r="F575">
        <v>0</v>
      </c>
      <c r="H575" s="10">
        <v>978708.46</v>
      </c>
      <c r="I575" t="s">
        <v>35</v>
      </c>
      <c r="J575" s="10">
        <v>8762329.9600000009</v>
      </c>
      <c r="K575" t="s">
        <v>35</v>
      </c>
      <c r="L575" s="1">
        <f t="shared" si="8"/>
        <v>-8762329.9600000009</v>
      </c>
      <c r="N575" s="6" t="str">
        <f>IF(ISERROR(VLOOKUP($A575,'Plano de Contas'!#REF!,8,FALSE)),"",VLOOKUP($A575,'Plano de Contas'!#REF!,8,FALSE))</f>
        <v/>
      </c>
      <c r="P575" s="6" t="str">
        <f>IF(ISERROR(VLOOKUP($A575,'Plano de Contas'!#REF!,10,FALSE)),"",VLOOKUP($A575,'Plano de Contas'!#REF!,10,FALSE))</f>
        <v/>
      </c>
    </row>
    <row r="576" spans="1:16" x14ac:dyDescent="0.25">
      <c r="L576" s="1">
        <f t="shared" si="8"/>
        <v>0</v>
      </c>
      <c r="N576" s="6" t="str">
        <f>IF(ISERROR(VLOOKUP($A576,'Plano de Contas'!#REF!,8,FALSE)),"",VLOOKUP($A576,'Plano de Contas'!#REF!,8,FALSE))</f>
        <v/>
      </c>
      <c r="P576" s="6" t="str">
        <f>IF(ISERROR(VLOOKUP($A576,'Plano de Contas'!#REF!,10,FALSE)),"",VLOOKUP($A576,'Plano de Contas'!#REF!,10,FALSE))</f>
        <v/>
      </c>
    </row>
    <row r="577" spans="1:16" x14ac:dyDescent="0.25">
      <c r="A577" t="s">
        <v>941</v>
      </c>
      <c r="B577">
        <v>287</v>
      </c>
      <c r="C577" t="s">
        <v>942</v>
      </c>
      <c r="D577" s="10">
        <v>7783621.5</v>
      </c>
      <c r="E577" t="s">
        <v>35</v>
      </c>
      <c r="F577">
        <v>0</v>
      </c>
      <c r="H577" s="10">
        <v>978708.46</v>
      </c>
      <c r="I577" t="s">
        <v>35</v>
      </c>
      <c r="J577" s="10">
        <v>8762329.9600000009</v>
      </c>
      <c r="K577" t="s">
        <v>35</v>
      </c>
      <c r="L577" s="1">
        <f t="shared" si="8"/>
        <v>-8762329.9600000009</v>
      </c>
      <c r="N577" s="6" t="str">
        <f>IF(ISERROR(VLOOKUP($A577,'Plano de Contas'!#REF!,8,FALSE)),"",VLOOKUP($A577,'Plano de Contas'!#REF!,8,FALSE))</f>
        <v/>
      </c>
      <c r="P577" s="6" t="str">
        <f>IF(ISERROR(VLOOKUP($A577,'Plano de Contas'!#REF!,10,FALSE)),"",VLOOKUP($A577,'Plano de Contas'!#REF!,10,FALSE))</f>
        <v/>
      </c>
    </row>
    <row r="578" spans="1:16" x14ac:dyDescent="0.25">
      <c r="A578" t="s">
        <v>943</v>
      </c>
      <c r="B578">
        <v>288</v>
      </c>
      <c r="C578" t="s">
        <v>944</v>
      </c>
      <c r="D578" s="10">
        <v>-7066345.1399999997</v>
      </c>
      <c r="F578">
        <v>0</v>
      </c>
      <c r="H578" s="10">
        <v>959670.08</v>
      </c>
      <c r="J578" s="10">
        <v>8026015.2199999997</v>
      </c>
      <c r="K578" t="s">
        <v>35</v>
      </c>
      <c r="L578" s="1">
        <f t="shared" si="8"/>
        <v>-8026015.2199999997</v>
      </c>
      <c r="N578" s="6" t="str">
        <f>IF(ISERROR(VLOOKUP($A578,'Plano de Contas'!#REF!,8,FALSE)),"",VLOOKUP($A578,'Plano de Contas'!#REF!,8,FALSE))</f>
        <v/>
      </c>
      <c r="P578" s="6" t="str">
        <f>IF(ISERROR(VLOOKUP($A578,'Plano de Contas'!#REF!,10,FALSE)),"",VLOOKUP($A578,'Plano de Contas'!#REF!,10,FALSE))</f>
        <v/>
      </c>
    </row>
    <row r="579" spans="1:16" x14ac:dyDescent="0.25">
      <c r="A579" t="s">
        <v>945</v>
      </c>
      <c r="B579">
        <v>289</v>
      </c>
      <c r="C579" t="s">
        <v>946</v>
      </c>
      <c r="D579" s="10">
        <v>36827.410000000003</v>
      </c>
      <c r="E579" t="s">
        <v>35</v>
      </c>
      <c r="F579">
        <v>0</v>
      </c>
      <c r="H579">
        <v>1.05</v>
      </c>
      <c r="I579" t="s">
        <v>35</v>
      </c>
      <c r="J579" s="10">
        <v>36828.46</v>
      </c>
      <c r="K579" t="s">
        <v>35</v>
      </c>
      <c r="L579" s="1">
        <f t="shared" si="8"/>
        <v>-36828.46</v>
      </c>
      <c r="N579" s="6" t="str">
        <f>IF(ISERROR(VLOOKUP($A579,'Plano de Contas'!#REF!,8,FALSE)),"",VLOOKUP($A579,'Plano de Contas'!#REF!,8,FALSE))</f>
        <v/>
      </c>
      <c r="P579" s="6" t="str">
        <f>IF(ISERROR(VLOOKUP($A579,'Plano de Contas'!#REF!,10,FALSE)),"",VLOOKUP($A579,'Plano de Contas'!#REF!,10,FALSE))</f>
        <v/>
      </c>
    </row>
    <row r="580" spans="1:16" x14ac:dyDescent="0.25">
      <c r="A580" t="s">
        <v>947</v>
      </c>
      <c r="B580">
        <v>290</v>
      </c>
      <c r="C580" t="s">
        <v>948</v>
      </c>
      <c r="D580" s="10">
        <v>578343.22</v>
      </c>
      <c r="E580" t="s">
        <v>35</v>
      </c>
      <c r="F580">
        <v>0</v>
      </c>
      <c r="H580" s="10">
        <v>12800.39</v>
      </c>
      <c r="I580" t="s">
        <v>35</v>
      </c>
      <c r="J580" s="10">
        <v>591143.61</v>
      </c>
      <c r="K580" t="s">
        <v>35</v>
      </c>
      <c r="L580" s="1">
        <f t="shared" si="8"/>
        <v>-591143.61</v>
      </c>
      <c r="N580" s="6" t="str">
        <f>IF(ISERROR(VLOOKUP($A580,'Plano de Contas'!#REF!,8,FALSE)),"",VLOOKUP($A580,'Plano de Contas'!#REF!,8,FALSE))</f>
        <v/>
      </c>
      <c r="P580" s="6" t="str">
        <f>IF(ISERROR(VLOOKUP($A580,'Plano de Contas'!#REF!,10,FALSE)),"",VLOOKUP($A580,'Plano de Contas'!#REF!,10,FALSE))</f>
        <v/>
      </c>
    </row>
    <row r="581" spans="1:16" x14ac:dyDescent="0.25">
      <c r="A581" t="s">
        <v>951</v>
      </c>
      <c r="B581">
        <v>329</v>
      </c>
      <c r="C581" t="s">
        <v>952</v>
      </c>
      <c r="D581" s="10">
        <v>102105.73</v>
      </c>
      <c r="E581" t="s">
        <v>35</v>
      </c>
      <c r="F581">
        <v>0</v>
      </c>
      <c r="H581" s="10">
        <v>6236.94</v>
      </c>
      <c r="I581" t="s">
        <v>35</v>
      </c>
      <c r="J581" s="10">
        <v>108342.67</v>
      </c>
      <c r="K581" t="s">
        <v>35</v>
      </c>
      <c r="L581" s="1">
        <f t="shared" si="8"/>
        <v>-108342.67</v>
      </c>
      <c r="N581" s="6" t="str">
        <f>IF(ISERROR(VLOOKUP($A581,'Plano de Contas'!#REF!,8,FALSE)),"",VLOOKUP($A581,'Plano de Contas'!#REF!,8,FALSE))</f>
        <v/>
      </c>
      <c r="P581" s="6" t="str">
        <f>IF(ISERROR(VLOOKUP($A581,'Plano de Contas'!#REF!,10,FALSE)),"",VLOOKUP($A581,'Plano de Contas'!#REF!,10,FALSE))</f>
        <v/>
      </c>
    </row>
    <row r="582" spans="1:16" x14ac:dyDescent="0.25">
      <c r="L582" s="1">
        <f t="shared" si="8"/>
        <v>0</v>
      </c>
      <c r="N582" s="6" t="str">
        <f>IF(ISERROR(VLOOKUP($A582,'Plano de Contas'!#REF!,8,FALSE)),"",VLOOKUP($A582,'Plano de Contas'!#REF!,8,FALSE))</f>
        <v/>
      </c>
      <c r="P582" s="6" t="str">
        <f>IF(ISERROR(VLOOKUP($A582,'Plano de Contas'!#REF!,10,FALSE)),"",VLOOKUP($A582,'Plano de Contas'!#REF!,10,FALSE))</f>
        <v/>
      </c>
    </row>
    <row r="583" spans="1:16" x14ac:dyDescent="0.25">
      <c r="A583" t="s">
        <v>953</v>
      </c>
      <c r="B583">
        <v>292</v>
      </c>
      <c r="C583" t="s">
        <v>954</v>
      </c>
      <c r="D583" s="10">
        <v>3478027.7</v>
      </c>
      <c r="F583" s="10">
        <v>150734.39999999999</v>
      </c>
      <c r="H583">
        <v>417.79</v>
      </c>
      <c r="I583" t="s">
        <v>35</v>
      </c>
      <c r="J583" s="10">
        <v>3628344.31</v>
      </c>
      <c r="L583" s="1">
        <f t="shared" si="8"/>
        <v>3628344.31</v>
      </c>
      <c r="N583" s="6" t="str">
        <f>IF(ISERROR(VLOOKUP($A583,'Plano de Contas'!#REF!,8,FALSE)),"",VLOOKUP($A583,'Plano de Contas'!#REF!,8,FALSE))</f>
        <v/>
      </c>
      <c r="P583" s="6" t="str">
        <f>IF(ISERROR(VLOOKUP($A583,'Plano de Contas'!#REF!,10,FALSE)),"",VLOOKUP($A583,'Plano de Contas'!#REF!,10,FALSE))</f>
        <v/>
      </c>
    </row>
    <row r="584" spans="1:16" x14ac:dyDescent="0.25">
      <c r="L584" s="1">
        <f t="shared" ref="L584:L651" si="9">IF(K584="-",-J584,J584)</f>
        <v>0</v>
      </c>
      <c r="N584" s="6" t="str">
        <f>IF(ISERROR(VLOOKUP($A584,'Plano de Contas'!#REF!,8,FALSE)),"",VLOOKUP($A584,'Plano de Contas'!#REF!,8,FALSE))</f>
        <v/>
      </c>
      <c r="P584" s="6" t="str">
        <f>IF(ISERROR(VLOOKUP($A584,'Plano de Contas'!#REF!,10,FALSE)),"",VLOOKUP($A584,'Plano de Contas'!#REF!,10,FALSE))</f>
        <v/>
      </c>
    </row>
    <row r="585" spans="1:16" x14ac:dyDescent="0.25">
      <c r="A585" t="s">
        <v>955</v>
      </c>
      <c r="B585">
        <v>293</v>
      </c>
      <c r="C585" t="s">
        <v>956</v>
      </c>
      <c r="D585" s="10">
        <v>3478027.7</v>
      </c>
      <c r="F585" s="10">
        <v>150734.39999999999</v>
      </c>
      <c r="H585">
        <v>417.79</v>
      </c>
      <c r="I585" t="s">
        <v>35</v>
      </c>
      <c r="J585" s="10">
        <v>3628344.31</v>
      </c>
      <c r="L585" s="1">
        <f t="shared" si="9"/>
        <v>3628344.31</v>
      </c>
      <c r="N585" s="6" t="str">
        <f>IF(ISERROR(VLOOKUP($A585,'Plano de Contas'!#REF!,8,FALSE)),"",VLOOKUP($A585,'Plano de Contas'!#REF!,8,FALSE))</f>
        <v/>
      </c>
      <c r="P585" s="6" t="str">
        <f>IF(ISERROR(VLOOKUP($A585,'Plano de Contas'!#REF!,10,FALSE)),"",VLOOKUP($A585,'Plano de Contas'!#REF!,10,FALSE))</f>
        <v/>
      </c>
    </row>
    <row r="586" spans="1:16" x14ac:dyDescent="0.25">
      <c r="A586" t="s">
        <v>957</v>
      </c>
      <c r="B586">
        <v>294</v>
      </c>
      <c r="C586" t="s">
        <v>958</v>
      </c>
      <c r="D586" s="10">
        <v>230361.7</v>
      </c>
      <c r="F586" s="10">
        <v>3328.22</v>
      </c>
      <c r="H586">
        <v>1</v>
      </c>
      <c r="I586" t="s">
        <v>35</v>
      </c>
      <c r="J586" s="10">
        <v>233688.92</v>
      </c>
      <c r="L586" s="1">
        <f t="shared" si="9"/>
        <v>233688.92</v>
      </c>
      <c r="N586" s="6" t="str">
        <f>IF(ISERROR(VLOOKUP($A586,'Plano de Contas'!#REF!,8,FALSE)),"",VLOOKUP($A586,'Plano de Contas'!#REF!,8,FALSE))</f>
        <v/>
      </c>
      <c r="P586" s="6" t="str">
        <f>IF(ISERROR(VLOOKUP($A586,'Plano de Contas'!#REF!,10,FALSE)),"",VLOOKUP($A586,'Plano de Contas'!#REF!,10,FALSE))</f>
        <v/>
      </c>
    </row>
    <row r="587" spans="1:16" x14ac:dyDescent="0.25">
      <c r="A587" t="s">
        <v>959</v>
      </c>
      <c r="B587">
        <v>295</v>
      </c>
      <c r="C587" t="s">
        <v>960</v>
      </c>
      <c r="D587" s="10">
        <v>89298.69</v>
      </c>
      <c r="F587" s="10">
        <v>130032.19</v>
      </c>
      <c r="H587">
        <v>0</v>
      </c>
      <c r="J587" s="10">
        <v>219330.88</v>
      </c>
      <c r="L587" s="1">
        <f t="shared" si="9"/>
        <v>219330.88</v>
      </c>
      <c r="N587" s="6" t="str">
        <f>IF(ISERROR(VLOOKUP($A587,'Plano de Contas'!#REF!,8,FALSE)),"",VLOOKUP($A587,'Plano de Contas'!#REF!,8,FALSE))</f>
        <v/>
      </c>
      <c r="P587" s="6" t="str">
        <f>IF(ISERROR(VLOOKUP($A587,'Plano de Contas'!#REF!,10,FALSE)),"",VLOOKUP($A587,'Plano de Contas'!#REF!,10,FALSE))</f>
        <v/>
      </c>
    </row>
    <row r="588" spans="1:16" x14ac:dyDescent="0.25">
      <c r="A588" t="s">
        <v>961</v>
      </c>
      <c r="B588">
        <v>296</v>
      </c>
      <c r="C588" t="s">
        <v>962</v>
      </c>
      <c r="D588" s="10">
        <v>3158367.31</v>
      </c>
      <c r="F588" s="10">
        <v>17373.990000000002</v>
      </c>
      <c r="H588">
        <v>416.79</v>
      </c>
      <c r="I588" t="s">
        <v>35</v>
      </c>
      <c r="J588" s="10">
        <v>3175324.51</v>
      </c>
      <c r="L588" s="1">
        <f t="shared" si="9"/>
        <v>3175324.51</v>
      </c>
      <c r="N588" s="6" t="str">
        <f>IF(ISERROR(VLOOKUP($A588,'Plano de Contas'!#REF!,8,FALSE)),"",VLOOKUP($A588,'Plano de Contas'!#REF!,8,FALSE))</f>
        <v/>
      </c>
      <c r="P588" s="6" t="str">
        <f>IF(ISERROR(VLOOKUP($A588,'Plano de Contas'!#REF!,10,FALSE)),"",VLOOKUP($A588,'Plano de Contas'!#REF!,10,FALSE))</f>
        <v/>
      </c>
    </row>
    <row r="589" spans="1:16" x14ac:dyDescent="0.25">
      <c r="L589" s="1">
        <f t="shared" si="9"/>
        <v>0</v>
      </c>
      <c r="N589" s="6" t="str">
        <f>IF(ISERROR(VLOOKUP($A589,'Plano de Contas'!#REF!,8,FALSE)),"",VLOOKUP($A589,'Plano de Contas'!#REF!,8,FALSE))</f>
        <v/>
      </c>
      <c r="P589" s="6" t="str">
        <f>IF(ISERROR(VLOOKUP($A589,'Plano de Contas'!#REF!,10,FALSE)),"",VLOOKUP($A589,'Plano de Contas'!#REF!,10,FALSE))</f>
        <v/>
      </c>
    </row>
    <row r="590" spans="1:16" x14ac:dyDescent="0.25">
      <c r="A590">
        <v>4</v>
      </c>
      <c r="B590">
        <v>306</v>
      </c>
      <c r="C590" t="s">
        <v>963</v>
      </c>
      <c r="D590" s="10">
        <v>325942.09999999998</v>
      </c>
      <c r="F590">
        <v>0</v>
      </c>
      <c r="H590">
        <v>0</v>
      </c>
      <c r="J590" s="10">
        <v>325942.09999999998</v>
      </c>
      <c r="L590" s="1">
        <f t="shared" si="9"/>
        <v>325942.09999999998</v>
      </c>
      <c r="N590" s="6" t="str">
        <f>IF(ISERROR(VLOOKUP($A590,'Plano de Contas'!#REF!,8,FALSE)),"",VLOOKUP($A590,'Plano de Contas'!#REF!,8,FALSE))</f>
        <v/>
      </c>
      <c r="P590" s="6" t="str">
        <f>IF(ISERROR(VLOOKUP($A590,'Plano de Contas'!#REF!,10,FALSE)),"",VLOOKUP($A590,'Plano de Contas'!#REF!,10,FALSE))</f>
        <v/>
      </c>
    </row>
    <row r="591" spans="1:16" x14ac:dyDescent="0.25">
      <c r="L591" s="1">
        <f t="shared" si="9"/>
        <v>0</v>
      </c>
      <c r="N591" s="6" t="str">
        <f>IF(ISERROR(VLOOKUP($A591,'Plano de Contas'!#REF!,8,FALSE)),"",VLOOKUP($A591,'Plano de Contas'!#REF!,8,FALSE))</f>
        <v/>
      </c>
      <c r="P591" s="6" t="str">
        <f>IF(ISERROR(VLOOKUP($A591,'Plano de Contas'!#REF!,10,FALSE)),"",VLOOKUP($A591,'Plano de Contas'!#REF!,10,FALSE))</f>
        <v/>
      </c>
    </row>
    <row r="592" spans="1:16" x14ac:dyDescent="0.25">
      <c r="A592" t="s">
        <v>964</v>
      </c>
      <c r="B592">
        <v>307</v>
      </c>
      <c r="C592" t="s">
        <v>965</v>
      </c>
      <c r="D592" s="10">
        <v>325942.09999999998</v>
      </c>
      <c r="F592">
        <v>0</v>
      </c>
      <c r="H592">
        <v>0</v>
      </c>
      <c r="J592" s="10">
        <v>325942.09999999998</v>
      </c>
      <c r="L592" s="1">
        <f t="shared" si="9"/>
        <v>325942.09999999998</v>
      </c>
      <c r="N592" s="6" t="str">
        <f>IF(ISERROR(VLOOKUP($A592,'Plano de Contas'!#REF!,8,FALSE)),"",VLOOKUP($A592,'Plano de Contas'!#REF!,8,FALSE))</f>
        <v/>
      </c>
      <c r="P592" s="6" t="str">
        <f>IF(ISERROR(VLOOKUP($A592,'Plano de Contas'!#REF!,10,FALSE)),"",VLOOKUP($A592,'Plano de Contas'!#REF!,10,FALSE))</f>
        <v/>
      </c>
    </row>
    <row r="593" spans="1:16" x14ac:dyDescent="0.25">
      <c r="L593" s="1">
        <f t="shared" si="9"/>
        <v>0</v>
      </c>
      <c r="N593" s="6" t="str">
        <f>IF(ISERROR(VLOOKUP($A593,'Plano de Contas'!#REF!,8,FALSE)),"",VLOOKUP($A593,'Plano de Contas'!#REF!,8,FALSE))</f>
        <v/>
      </c>
      <c r="P593" s="6" t="str">
        <f>IF(ISERROR(VLOOKUP($A593,'Plano de Contas'!#REF!,10,FALSE)),"",VLOOKUP($A593,'Plano de Contas'!#REF!,10,FALSE))</f>
        <v/>
      </c>
    </row>
    <row r="594" spans="1:16" x14ac:dyDescent="0.25">
      <c r="A594" t="s">
        <v>966</v>
      </c>
      <c r="B594">
        <v>308</v>
      </c>
      <c r="C594" t="s">
        <v>967</v>
      </c>
      <c r="D594" s="10">
        <v>325942.09999999998</v>
      </c>
      <c r="F594">
        <v>0</v>
      </c>
      <c r="H594">
        <v>0</v>
      </c>
      <c r="J594" s="10">
        <v>325942.09999999998</v>
      </c>
      <c r="L594" s="1">
        <f t="shared" si="9"/>
        <v>325942.09999999998</v>
      </c>
      <c r="N594" s="6" t="str">
        <f>IF(ISERROR(VLOOKUP($A594,'Plano de Contas'!#REF!,8,FALSE)),"",VLOOKUP($A594,'Plano de Contas'!#REF!,8,FALSE))</f>
        <v/>
      </c>
      <c r="P594" s="6" t="str">
        <f>IF(ISERROR(VLOOKUP($A594,'Plano de Contas'!#REF!,10,FALSE)),"",VLOOKUP($A594,'Plano de Contas'!#REF!,10,FALSE))</f>
        <v/>
      </c>
    </row>
    <row r="595" spans="1:16" x14ac:dyDescent="0.25">
      <c r="L595" s="1">
        <f t="shared" si="9"/>
        <v>0</v>
      </c>
      <c r="N595" s="6" t="str">
        <f>IF(ISERROR(VLOOKUP($A595,'Plano de Contas'!#REF!,8,FALSE)),"",VLOOKUP($A595,'Plano de Contas'!#REF!,8,FALSE))</f>
        <v/>
      </c>
      <c r="P595" s="6" t="str">
        <f>IF(ISERROR(VLOOKUP($A595,'Plano de Contas'!#REF!,10,FALSE)),"",VLOOKUP($A595,'Plano de Contas'!#REF!,10,FALSE))</f>
        <v/>
      </c>
    </row>
    <row r="596" spans="1:16" x14ac:dyDescent="0.25">
      <c r="A596" t="s">
        <v>968</v>
      </c>
      <c r="B596">
        <v>309</v>
      </c>
      <c r="C596" t="s">
        <v>969</v>
      </c>
      <c r="D596" s="10">
        <v>325942.09999999998</v>
      </c>
      <c r="F596">
        <v>0</v>
      </c>
      <c r="H596">
        <v>0</v>
      </c>
      <c r="J596" s="10">
        <v>325942.09999999998</v>
      </c>
      <c r="L596" s="1">
        <f t="shared" si="9"/>
        <v>325942.09999999998</v>
      </c>
      <c r="N596" s="6" t="str">
        <f>IF(ISERROR(VLOOKUP($A596,'Plano de Contas'!#REF!,8,FALSE)),"",VLOOKUP($A596,'Plano de Contas'!#REF!,8,FALSE))</f>
        <v/>
      </c>
      <c r="P596" s="6" t="str">
        <f>IF(ISERROR(VLOOKUP($A596,'Plano de Contas'!#REF!,10,FALSE)),"",VLOOKUP($A596,'Plano de Contas'!#REF!,10,FALSE))</f>
        <v/>
      </c>
    </row>
    <row r="597" spans="1:16" x14ac:dyDescent="0.25">
      <c r="A597" t="s">
        <v>970</v>
      </c>
      <c r="B597">
        <v>330</v>
      </c>
      <c r="C597" t="s">
        <v>750</v>
      </c>
      <c r="D597" s="10">
        <v>325942.09999999998</v>
      </c>
      <c r="F597">
        <v>0</v>
      </c>
      <c r="H597">
        <v>0</v>
      </c>
      <c r="J597" s="10">
        <v>325942.09999999998</v>
      </c>
      <c r="L597" s="1">
        <f t="shared" si="9"/>
        <v>325942.09999999998</v>
      </c>
      <c r="N597" s="6" t="str">
        <f>IF(ISERROR(VLOOKUP($A597,'Plano de Contas'!#REF!,8,FALSE)),"",VLOOKUP($A597,'Plano de Contas'!#REF!,8,FALSE))</f>
        <v/>
      </c>
      <c r="P597" s="6" t="str">
        <f>IF(ISERROR(VLOOKUP($A597,'Plano de Contas'!#REF!,10,FALSE)),"",VLOOKUP($A597,'Plano de Contas'!#REF!,10,FALSE))</f>
        <v/>
      </c>
    </row>
    <row r="598" spans="1:16" x14ac:dyDescent="0.25">
      <c r="L598" s="1">
        <f t="shared" si="9"/>
        <v>0</v>
      </c>
      <c r="N598" s="6" t="str">
        <f>IF(ISERROR(VLOOKUP($A598,'Plano de Contas'!#REF!,8,FALSE)),"",VLOOKUP($A598,'Plano de Contas'!#REF!,8,FALSE))</f>
        <v/>
      </c>
      <c r="P598" s="6" t="str">
        <f>IF(ISERROR(VLOOKUP($A598,'Plano de Contas'!#REF!,10,FALSE)),"",VLOOKUP($A598,'Plano de Contas'!#REF!,10,FALSE))</f>
        <v/>
      </c>
    </row>
    <row r="599" spans="1:16" x14ac:dyDescent="0.25">
      <c r="A599">
        <v>5</v>
      </c>
      <c r="B599">
        <v>310</v>
      </c>
      <c r="C599" t="s">
        <v>971</v>
      </c>
      <c r="D599" s="10">
        <v>325942.09999999998</v>
      </c>
      <c r="E599" t="s">
        <v>35</v>
      </c>
      <c r="F599">
        <v>0</v>
      </c>
      <c r="H599">
        <v>0</v>
      </c>
      <c r="J599" s="10">
        <v>325942.09999999998</v>
      </c>
      <c r="K599" t="s">
        <v>35</v>
      </c>
      <c r="L599" s="1">
        <f t="shared" si="9"/>
        <v>-325942.09999999998</v>
      </c>
      <c r="N599" s="6" t="str">
        <f>IF(ISERROR(VLOOKUP($A599,'Plano de Contas'!#REF!,8,FALSE)),"",VLOOKUP($A599,'Plano de Contas'!#REF!,8,FALSE))</f>
        <v/>
      </c>
      <c r="P599" s="6" t="str">
        <f>IF(ISERROR(VLOOKUP($A599,'Plano de Contas'!#REF!,10,FALSE)),"",VLOOKUP($A599,'Plano de Contas'!#REF!,10,FALSE))</f>
        <v/>
      </c>
    </row>
    <row r="600" spans="1:16" x14ac:dyDescent="0.25">
      <c r="L600" s="1">
        <f t="shared" si="9"/>
        <v>0</v>
      </c>
      <c r="N600" s="6" t="str">
        <f>IF(ISERROR(VLOOKUP($A600,'Plano de Contas'!#REF!,8,FALSE)),"",VLOOKUP($A600,'Plano de Contas'!#REF!,8,FALSE))</f>
        <v/>
      </c>
      <c r="P600" s="6" t="str">
        <f>IF(ISERROR(VLOOKUP($A600,'Plano de Contas'!#REF!,10,FALSE)),"",VLOOKUP($A600,'Plano de Contas'!#REF!,10,FALSE))</f>
        <v/>
      </c>
    </row>
    <row r="601" spans="1:16" x14ac:dyDescent="0.25">
      <c r="A601" t="s">
        <v>972</v>
      </c>
      <c r="B601">
        <v>311</v>
      </c>
      <c r="C601" t="s">
        <v>965</v>
      </c>
      <c r="D601" s="10">
        <v>325942.09999999998</v>
      </c>
      <c r="E601" t="s">
        <v>35</v>
      </c>
      <c r="F601">
        <v>0</v>
      </c>
      <c r="H601">
        <v>0</v>
      </c>
      <c r="J601" s="10">
        <v>325942.09999999998</v>
      </c>
      <c r="K601" t="s">
        <v>35</v>
      </c>
      <c r="L601" s="1">
        <f t="shared" si="9"/>
        <v>-325942.09999999998</v>
      </c>
      <c r="N601" s="6" t="str">
        <f>IF(ISERROR(VLOOKUP($A601,'Plano de Contas'!#REF!,8,FALSE)),"",VLOOKUP($A601,'Plano de Contas'!#REF!,8,FALSE))</f>
        <v/>
      </c>
      <c r="P601" s="6" t="str">
        <f>IF(ISERROR(VLOOKUP($A601,'Plano de Contas'!#REF!,10,FALSE)),"",VLOOKUP($A601,'Plano de Contas'!#REF!,10,FALSE))</f>
        <v/>
      </c>
    </row>
    <row r="602" spans="1:16" x14ac:dyDescent="0.25">
      <c r="L602" s="1">
        <f t="shared" si="9"/>
        <v>0</v>
      </c>
      <c r="N602" s="6" t="str">
        <f>IF(ISERROR(VLOOKUP($A602,'Plano de Contas'!#REF!,8,FALSE)),"",VLOOKUP($A602,'Plano de Contas'!#REF!,8,FALSE))</f>
        <v/>
      </c>
      <c r="P602" s="6" t="str">
        <f>IF(ISERROR(VLOOKUP($A602,'Plano de Contas'!#REF!,10,FALSE)),"",VLOOKUP($A602,'Plano de Contas'!#REF!,10,FALSE))</f>
        <v/>
      </c>
    </row>
    <row r="603" spans="1:16" x14ac:dyDescent="0.25">
      <c r="A603" t="s">
        <v>973</v>
      </c>
      <c r="B603">
        <v>312</v>
      </c>
      <c r="C603" t="s">
        <v>967</v>
      </c>
      <c r="D603" s="10">
        <v>325942.09999999998</v>
      </c>
      <c r="E603" t="s">
        <v>35</v>
      </c>
      <c r="F603">
        <v>0</v>
      </c>
      <c r="H603">
        <v>0</v>
      </c>
      <c r="J603" s="10">
        <v>325942.09999999998</v>
      </c>
      <c r="K603" t="s">
        <v>35</v>
      </c>
      <c r="L603" s="1">
        <f t="shared" si="9"/>
        <v>-325942.09999999998</v>
      </c>
      <c r="N603" s="6" t="str">
        <f>IF(ISERROR(VLOOKUP($A603,'Plano de Contas'!#REF!,8,FALSE)),"",VLOOKUP($A603,'Plano de Contas'!#REF!,8,FALSE))</f>
        <v/>
      </c>
      <c r="P603" s="6" t="str">
        <f>IF(ISERROR(VLOOKUP($A603,'Plano de Contas'!#REF!,10,FALSE)),"",VLOOKUP($A603,'Plano de Contas'!#REF!,10,FALSE))</f>
        <v/>
      </c>
    </row>
    <row r="604" spans="1:16" x14ac:dyDescent="0.25">
      <c r="L604" s="1">
        <f t="shared" si="9"/>
        <v>0</v>
      </c>
      <c r="N604" s="6" t="str">
        <f>IF(ISERROR(VLOOKUP($A604,'Plano de Contas'!#REF!,8,FALSE)),"",VLOOKUP($A604,'Plano de Contas'!#REF!,8,FALSE))</f>
        <v/>
      </c>
      <c r="P604" s="6" t="str">
        <f>IF(ISERROR(VLOOKUP($A604,'Plano de Contas'!#REF!,10,FALSE)),"",VLOOKUP($A604,'Plano de Contas'!#REF!,10,FALSE))</f>
        <v/>
      </c>
    </row>
    <row r="605" spans="1:16" x14ac:dyDescent="0.25">
      <c r="A605" t="s">
        <v>974</v>
      </c>
      <c r="B605">
        <v>313</v>
      </c>
      <c r="C605" t="s">
        <v>969</v>
      </c>
      <c r="D605" s="10">
        <v>325942.09999999998</v>
      </c>
      <c r="E605" t="s">
        <v>35</v>
      </c>
      <c r="F605">
        <v>0</v>
      </c>
      <c r="H605">
        <v>0</v>
      </c>
      <c r="J605" s="10">
        <v>325942.09999999998</v>
      </c>
      <c r="K605" t="s">
        <v>35</v>
      </c>
      <c r="L605" s="1">
        <f t="shared" si="9"/>
        <v>-325942.09999999998</v>
      </c>
      <c r="N605" s="6" t="str">
        <f>IF(ISERROR(VLOOKUP($A605,'Plano de Contas'!#REF!,8,FALSE)),"",VLOOKUP($A605,'Plano de Contas'!#REF!,8,FALSE))</f>
        <v/>
      </c>
      <c r="P605" s="6" t="str">
        <f>IF(ISERROR(VLOOKUP($A605,'Plano de Contas'!#REF!,10,FALSE)),"",VLOOKUP($A605,'Plano de Contas'!#REF!,10,FALSE))</f>
        <v/>
      </c>
    </row>
    <row r="606" spans="1:16" x14ac:dyDescent="0.25">
      <c r="A606" t="s">
        <v>975</v>
      </c>
      <c r="B606">
        <v>331</v>
      </c>
      <c r="C606" t="s">
        <v>750</v>
      </c>
      <c r="D606" s="10">
        <v>325942.09999999998</v>
      </c>
      <c r="E606" t="s">
        <v>35</v>
      </c>
      <c r="F606">
        <v>0</v>
      </c>
      <c r="H606">
        <v>0</v>
      </c>
      <c r="J606" s="10">
        <v>325942.09999999998</v>
      </c>
      <c r="K606" t="s">
        <v>35</v>
      </c>
      <c r="L606" s="1">
        <f t="shared" si="9"/>
        <v>-325942.09999999998</v>
      </c>
      <c r="N606" s="6" t="str">
        <f>IF(ISERROR(VLOOKUP($A606,'Plano de Contas'!#REF!,8,FALSE)),"",VLOOKUP($A606,'Plano de Contas'!#REF!,8,FALSE))</f>
        <v/>
      </c>
      <c r="P606" s="6" t="str">
        <f>IF(ISERROR(VLOOKUP($A606,'Plano de Contas'!#REF!,10,FALSE)),"",VLOOKUP($A606,'Plano de Contas'!#REF!,10,FALSE))</f>
        <v/>
      </c>
    </row>
    <row r="607" spans="1:16" x14ac:dyDescent="0.25">
      <c r="L607" s="1">
        <f t="shared" si="9"/>
        <v>0</v>
      </c>
      <c r="N607" s="6" t="str">
        <f>IF(ISERROR(VLOOKUP($A607,'Plano de Contas'!#REF!,8,FALSE)),"",VLOOKUP($A607,'Plano de Contas'!#REF!,8,FALSE))</f>
        <v/>
      </c>
      <c r="P607" s="6" t="str">
        <f>IF(ISERROR(VLOOKUP($A607,'Plano de Contas'!#REF!,10,FALSE)),"",VLOOKUP($A607,'Plano de Contas'!#REF!,10,FALSE))</f>
        <v/>
      </c>
    </row>
    <row r="608" spans="1:16" x14ac:dyDescent="0.25">
      <c r="C608" t="s">
        <v>976</v>
      </c>
      <c r="D608" t="s">
        <v>1087</v>
      </c>
      <c r="E608">
        <v>1</v>
      </c>
      <c r="F608" s="10">
        <v>3500675.91</v>
      </c>
      <c r="L608" s="1">
        <f t="shared" si="9"/>
        <v>0</v>
      </c>
      <c r="N608" s="6" t="str">
        <f>IF(ISERROR(VLOOKUP($A608,'Plano de Contas'!#REF!,8,FALSE)),"",VLOOKUP($A608,'Plano de Contas'!#REF!,8,FALSE))</f>
        <v/>
      </c>
      <c r="P608" s="6" t="str">
        <f>IF(ISERROR(VLOOKUP($A608,'Plano de Contas'!#REF!,10,FALSE)),"",VLOOKUP($A608,'Plano de Contas'!#REF!,10,FALSE))</f>
        <v/>
      </c>
    </row>
    <row r="609" spans="3:16" x14ac:dyDescent="0.25">
      <c r="C609" t="s">
        <v>978</v>
      </c>
      <c r="D609" t="s">
        <v>1087</v>
      </c>
      <c r="E609">
        <v>1</v>
      </c>
      <c r="F609" s="10">
        <v>-3500675.91</v>
      </c>
      <c r="L609" s="1">
        <f t="shared" si="9"/>
        <v>0</v>
      </c>
      <c r="N609" s="6" t="str">
        <f>IF(ISERROR(VLOOKUP($A609,'Plano de Contas'!#REF!,8,FALSE)),"",VLOOKUP($A609,'Plano de Contas'!#REF!,8,FALSE))</f>
        <v/>
      </c>
      <c r="P609" s="6" t="str">
        <f>IF(ISERROR(VLOOKUP($A609,'Plano de Contas'!#REF!,10,FALSE)),"",VLOOKUP($A609,'Plano de Contas'!#REF!,10,FALSE))</f>
        <v/>
      </c>
    </row>
    <row r="610" spans="3:16" x14ac:dyDescent="0.25">
      <c r="L610" s="1">
        <f t="shared" si="9"/>
        <v>0</v>
      </c>
      <c r="N610" s="6" t="str">
        <f>IF(ISERROR(VLOOKUP($A610,'Plano de Contas'!#REF!,8,FALSE)),"",VLOOKUP($A610,'Plano de Contas'!#REF!,8,FALSE))</f>
        <v/>
      </c>
      <c r="P610" s="6" t="str">
        <f>IF(ISERROR(VLOOKUP($A610,'Plano de Contas'!#REF!,10,FALSE)),"",VLOOKUP($A610,'Plano de Contas'!#REF!,10,FALSE))</f>
        <v/>
      </c>
    </row>
    <row r="611" spans="3:16" x14ac:dyDescent="0.25">
      <c r="L611" s="1">
        <f t="shared" si="9"/>
        <v>0</v>
      </c>
      <c r="N611" s="6" t="str">
        <f>IF(ISERROR(VLOOKUP($A611,'Plano de Contas'!#REF!,8,FALSE)),"",VLOOKUP($A611,'Plano de Contas'!#REF!,8,FALSE))</f>
        <v/>
      </c>
      <c r="P611" s="6" t="str">
        <f>IF(ISERROR(VLOOKUP($A611,'Plano de Contas'!#REF!,10,FALSE)),"",VLOOKUP($A611,'Plano de Contas'!#REF!,10,FALSE))</f>
        <v/>
      </c>
    </row>
    <row r="612" spans="3:16" x14ac:dyDescent="0.25">
      <c r="L612" s="1">
        <f t="shared" si="9"/>
        <v>0</v>
      </c>
      <c r="N612" s="6" t="str">
        <f>IF(ISERROR(VLOOKUP($A612,'Plano de Contas'!#REF!,8,FALSE)),"",VLOOKUP($A612,'Plano de Contas'!#REF!,8,FALSE))</f>
        <v/>
      </c>
      <c r="P612" s="6" t="str">
        <f>IF(ISERROR(VLOOKUP($A612,'Plano de Contas'!#REF!,10,FALSE)),"",VLOOKUP($A612,'Plano de Contas'!#REF!,10,FALSE))</f>
        <v/>
      </c>
    </row>
    <row r="613" spans="3:16" x14ac:dyDescent="0.25">
      <c r="L613" s="1">
        <f t="shared" si="9"/>
        <v>0</v>
      </c>
      <c r="N613" s="6" t="str">
        <f>IF(ISERROR(VLOOKUP($A613,'Plano de Contas'!#REF!,8,FALSE)),"",VLOOKUP($A613,'Plano de Contas'!#REF!,8,FALSE))</f>
        <v/>
      </c>
      <c r="P613" s="6" t="str">
        <f>IF(ISERROR(VLOOKUP($A613,'Plano de Contas'!#REF!,10,FALSE)),"",VLOOKUP($A613,'Plano de Contas'!#REF!,10,FALSE))</f>
        <v/>
      </c>
    </row>
    <row r="614" spans="3:16" x14ac:dyDescent="0.25">
      <c r="L614" s="1">
        <f t="shared" si="9"/>
        <v>0</v>
      </c>
      <c r="N614" s="6" t="str">
        <f>IF(ISERROR(VLOOKUP($A614,'Plano de Contas'!#REF!,8,FALSE)),"",VLOOKUP($A614,'Plano de Contas'!#REF!,8,FALSE))</f>
        <v/>
      </c>
      <c r="P614" s="6" t="str">
        <f>IF(ISERROR(VLOOKUP($A614,'Plano de Contas'!#REF!,10,FALSE)),"",VLOOKUP($A614,'Plano de Contas'!#REF!,10,FALSE))</f>
        <v/>
      </c>
    </row>
    <row r="615" spans="3:16" x14ac:dyDescent="0.25">
      <c r="L615" s="1">
        <f t="shared" si="9"/>
        <v>0</v>
      </c>
      <c r="N615" s="6" t="str">
        <f>IF(ISERROR(VLOOKUP($A615,'Plano de Contas'!#REF!,8,FALSE)),"",VLOOKUP($A615,'Plano de Contas'!#REF!,8,FALSE))</f>
        <v/>
      </c>
      <c r="P615" s="6" t="str">
        <f>IF(ISERROR(VLOOKUP($A615,'Plano de Contas'!#REF!,10,FALSE)),"",VLOOKUP($A615,'Plano de Contas'!#REF!,10,FALSE))</f>
        <v/>
      </c>
    </row>
    <row r="616" spans="3:16" x14ac:dyDescent="0.25">
      <c r="L616" s="1">
        <f t="shared" si="9"/>
        <v>0</v>
      </c>
      <c r="N616" s="6" t="str">
        <f>IF(ISERROR(VLOOKUP($A616,'Plano de Contas'!#REF!,8,FALSE)),"",VLOOKUP($A616,'Plano de Contas'!#REF!,8,FALSE))</f>
        <v/>
      </c>
      <c r="P616" s="6" t="str">
        <f>IF(ISERROR(VLOOKUP($A616,'Plano de Contas'!#REF!,10,FALSE)),"",VLOOKUP($A616,'Plano de Contas'!#REF!,10,FALSE))</f>
        <v/>
      </c>
    </row>
    <row r="617" spans="3:16" x14ac:dyDescent="0.25">
      <c r="L617" s="1">
        <f t="shared" si="9"/>
        <v>0</v>
      </c>
      <c r="N617" s="6" t="str">
        <f>IF(ISERROR(VLOOKUP($A617,'Plano de Contas'!#REF!,8,FALSE)),"",VLOOKUP($A617,'Plano de Contas'!#REF!,8,FALSE))</f>
        <v/>
      </c>
      <c r="P617" s="6" t="str">
        <f>IF(ISERROR(VLOOKUP($A617,'Plano de Contas'!#REF!,10,FALSE)),"",VLOOKUP($A617,'Plano de Contas'!#REF!,10,FALSE))</f>
        <v/>
      </c>
    </row>
    <row r="618" spans="3:16" x14ac:dyDescent="0.25">
      <c r="L618" s="1">
        <f t="shared" si="9"/>
        <v>0</v>
      </c>
      <c r="N618" s="6" t="str">
        <f>IF(ISERROR(VLOOKUP($A618,'Plano de Contas'!#REF!,8,FALSE)),"",VLOOKUP($A618,'Plano de Contas'!#REF!,8,FALSE))</f>
        <v/>
      </c>
      <c r="P618" s="6" t="str">
        <f>IF(ISERROR(VLOOKUP($A618,'Plano de Contas'!#REF!,10,FALSE)),"",VLOOKUP($A618,'Plano de Contas'!#REF!,10,FALSE))</f>
        <v/>
      </c>
    </row>
    <row r="619" spans="3:16" x14ac:dyDescent="0.25">
      <c r="L619" s="1">
        <f t="shared" si="9"/>
        <v>0</v>
      </c>
      <c r="N619" s="6" t="str">
        <f>IF(ISERROR(VLOOKUP($A619,'Plano de Contas'!#REF!,8,FALSE)),"",VLOOKUP($A619,'Plano de Contas'!#REF!,8,FALSE))</f>
        <v/>
      </c>
      <c r="P619" s="6" t="str">
        <f>IF(ISERROR(VLOOKUP($A619,'Plano de Contas'!#REF!,10,FALSE)),"",VLOOKUP($A619,'Plano de Contas'!#REF!,10,FALSE))</f>
        <v/>
      </c>
    </row>
    <row r="620" spans="3:16" x14ac:dyDescent="0.25">
      <c r="L620" s="1">
        <f t="shared" si="9"/>
        <v>0</v>
      </c>
      <c r="N620" s="6" t="str">
        <f>IF(ISERROR(VLOOKUP($A620,'Plano de Contas'!#REF!,8,FALSE)),"",VLOOKUP($A620,'Plano de Contas'!#REF!,8,FALSE))</f>
        <v/>
      </c>
      <c r="P620" s="6" t="str">
        <f>IF(ISERROR(VLOOKUP($A620,'Plano de Contas'!#REF!,10,FALSE)),"",VLOOKUP($A620,'Plano de Contas'!#REF!,10,FALSE))</f>
        <v/>
      </c>
    </row>
    <row r="621" spans="3:16" x14ac:dyDescent="0.25">
      <c r="L621" s="1">
        <f t="shared" si="9"/>
        <v>0</v>
      </c>
      <c r="N621" s="6" t="str">
        <f>IF(ISERROR(VLOOKUP($A621,'Plano de Contas'!#REF!,8,FALSE)),"",VLOOKUP($A621,'Plano de Contas'!#REF!,8,FALSE))</f>
        <v/>
      </c>
      <c r="P621" s="6" t="str">
        <f>IF(ISERROR(VLOOKUP($A621,'Plano de Contas'!#REF!,10,FALSE)),"",VLOOKUP($A621,'Plano de Contas'!#REF!,10,FALSE))</f>
        <v/>
      </c>
    </row>
    <row r="622" spans="3:16" x14ac:dyDescent="0.25">
      <c r="L622" s="1">
        <f t="shared" si="9"/>
        <v>0</v>
      </c>
      <c r="N622" s="6" t="str">
        <f>IF(ISERROR(VLOOKUP($A622,'Plano de Contas'!#REF!,8,FALSE)),"",VLOOKUP($A622,'Plano de Contas'!#REF!,8,FALSE))</f>
        <v/>
      </c>
      <c r="P622" s="6" t="str">
        <f>IF(ISERROR(VLOOKUP($A622,'Plano de Contas'!#REF!,10,FALSE)),"",VLOOKUP($A622,'Plano de Contas'!#REF!,10,FALSE))</f>
        <v/>
      </c>
    </row>
    <row r="623" spans="3:16" x14ac:dyDescent="0.25">
      <c r="L623" s="1">
        <f t="shared" si="9"/>
        <v>0</v>
      </c>
      <c r="N623" s="6" t="str">
        <f>IF(ISERROR(VLOOKUP($A623,'Plano de Contas'!#REF!,8,FALSE)),"",VLOOKUP($A623,'Plano de Contas'!#REF!,8,FALSE))</f>
        <v/>
      </c>
      <c r="P623" s="6" t="str">
        <f>IF(ISERROR(VLOOKUP($A623,'Plano de Contas'!#REF!,10,FALSE)),"",VLOOKUP($A623,'Plano de Contas'!#REF!,10,FALSE))</f>
        <v/>
      </c>
    </row>
    <row r="624" spans="3:16" x14ac:dyDescent="0.25">
      <c r="L624" s="1">
        <f t="shared" si="9"/>
        <v>0</v>
      </c>
      <c r="N624" s="6" t="str">
        <f>IF(ISERROR(VLOOKUP($A624,'Plano de Contas'!#REF!,8,FALSE)),"",VLOOKUP($A624,'Plano de Contas'!#REF!,8,FALSE))</f>
        <v/>
      </c>
      <c r="P624" s="6" t="str">
        <f>IF(ISERROR(VLOOKUP($A624,'Plano de Contas'!#REF!,10,FALSE)),"",VLOOKUP($A624,'Plano de Contas'!#REF!,10,FALSE))</f>
        <v/>
      </c>
    </row>
    <row r="625" spans="12:16" x14ac:dyDescent="0.25">
      <c r="L625" s="1">
        <f t="shared" si="9"/>
        <v>0</v>
      </c>
      <c r="N625" s="6" t="str">
        <f>IF(ISERROR(VLOOKUP($A625,'Plano de Contas'!#REF!,8,FALSE)),"",VLOOKUP($A625,'Plano de Contas'!#REF!,8,FALSE))</f>
        <v/>
      </c>
      <c r="P625" s="6" t="str">
        <f>IF(ISERROR(VLOOKUP($A625,'Plano de Contas'!#REF!,10,FALSE)),"",VLOOKUP($A625,'Plano de Contas'!#REF!,10,FALSE))</f>
        <v/>
      </c>
    </row>
    <row r="626" spans="12:16" x14ac:dyDescent="0.25">
      <c r="L626" s="1">
        <f t="shared" si="9"/>
        <v>0</v>
      </c>
      <c r="N626" s="6" t="str">
        <f>IF(ISERROR(VLOOKUP($A626,'Plano de Contas'!#REF!,8,FALSE)),"",VLOOKUP($A626,'Plano de Contas'!#REF!,8,FALSE))</f>
        <v/>
      </c>
      <c r="P626" s="6" t="str">
        <f>IF(ISERROR(VLOOKUP($A626,'Plano de Contas'!#REF!,10,FALSE)),"",VLOOKUP($A626,'Plano de Contas'!#REF!,10,FALSE))</f>
        <v/>
      </c>
    </row>
    <row r="627" spans="12:16" x14ac:dyDescent="0.25">
      <c r="L627" s="1">
        <f t="shared" si="9"/>
        <v>0</v>
      </c>
      <c r="N627" s="6" t="str">
        <f>IF(ISERROR(VLOOKUP($A627,'Plano de Contas'!#REF!,8,FALSE)),"",VLOOKUP($A627,'Plano de Contas'!#REF!,8,FALSE))</f>
        <v/>
      </c>
      <c r="P627" s="6" t="str">
        <f>IF(ISERROR(VLOOKUP($A627,'Plano de Contas'!#REF!,10,FALSE)),"",VLOOKUP($A627,'Plano de Contas'!#REF!,10,FALSE))</f>
        <v/>
      </c>
    </row>
    <row r="628" spans="12:16" x14ac:dyDescent="0.25">
      <c r="L628" s="1">
        <f t="shared" si="9"/>
        <v>0</v>
      </c>
      <c r="N628" s="6" t="str">
        <f>IF(ISERROR(VLOOKUP($A628,'Plano de Contas'!#REF!,8,FALSE)),"",VLOOKUP($A628,'Plano de Contas'!#REF!,8,FALSE))</f>
        <v/>
      </c>
      <c r="P628" s="6" t="str">
        <f>IF(ISERROR(VLOOKUP($A628,'Plano de Contas'!#REF!,10,FALSE)),"",VLOOKUP($A628,'Plano de Contas'!#REF!,10,FALSE))</f>
        <v/>
      </c>
    </row>
    <row r="629" spans="12:16" x14ac:dyDescent="0.25">
      <c r="L629" s="1">
        <f t="shared" si="9"/>
        <v>0</v>
      </c>
      <c r="N629" s="6" t="str">
        <f>IF(ISERROR(VLOOKUP($A629,'Plano de Contas'!#REF!,8,FALSE)),"",VLOOKUP($A629,'Plano de Contas'!#REF!,8,FALSE))</f>
        <v/>
      </c>
      <c r="P629" s="6" t="str">
        <f>IF(ISERROR(VLOOKUP($A629,'Plano de Contas'!#REF!,10,FALSE)),"",VLOOKUP($A629,'Plano de Contas'!#REF!,10,FALSE))</f>
        <v/>
      </c>
    </row>
    <row r="630" spans="12:16" x14ac:dyDescent="0.25">
      <c r="L630" s="1">
        <f t="shared" si="9"/>
        <v>0</v>
      </c>
      <c r="N630" s="6" t="str">
        <f>IF(ISERROR(VLOOKUP($A630,'Plano de Contas'!#REF!,8,FALSE)),"",VLOOKUP($A630,'Plano de Contas'!#REF!,8,FALSE))</f>
        <v/>
      </c>
      <c r="P630" s="6" t="str">
        <f>IF(ISERROR(VLOOKUP($A630,'Plano de Contas'!#REF!,10,FALSE)),"",VLOOKUP($A630,'Plano de Contas'!#REF!,10,FALSE))</f>
        <v/>
      </c>
    </row>
    <row r="631" spans="12:16" x14ac:dyDescent="0.25">
      <c r="L631" s="1">
        <f t="shared" si="9"/>
        <v>0</v>
      </c>
      <c r="N631" s="6" t="str">
        <f>IF(ISERROR(VLOOKUP($A631,'Plano de Contas'!#REF!,8,FALSE)),"",VLOOKUP($A631,'Plano de Contas'!#REF!,8,FALSE))</f>
        <v/>
      </c>
      <c r="P631" s="6" t="str">
        <f>IF(ISERROR(VLOOKUP($A631,'Plano de Contas'!#REF!,10,FALSE)),"",VLOOKUP($A631,'Plano de Contas'!#REF!,10,FALSE))</f>
        <v/>
      </c>
    </row>
    <row r="632" spans="12:16" x14ac:dyDescent="0.25">
      <c r="L632" s="1">
        <f t="shared" si="9"/>
        <v>0</v>
      </c>
      <c r="N632" s="6" t="str">
        <f>IF(ISERROR(VLOOKUP($A632,'Plano de Contas'!#REF!,8,FALSE)),"",VLOOKUP($A632,'Plano de Contas'!#REF!,8,FALSE))</f>
        <v/>
      </c>
      <c r="P632" s="6" t="str">
        <f>IF(ISERROR(VLOOKUP($A632,'Plano de Contas'!#REF!,10,FALSE)),"",VLOOKUP($A632,'Plano de Contas'!#REF!,10,FALSE))</f>
        <v/>
      </c>
    </row>
    <row r="633" spans="12:16" x14ac:dyDescent="0.25">
      <c r="L633" s="1">
        <f t="shared" si="9"/>
        <v>0</v>
      </c>
      <c r="N633" s="6" t="str">
        <f>IF(ISERROR(VLOOKUP($A633,'Plano de Contas'!#REF!,8,FALSE)),"",VLOOKUP($A633,'Plano de Contas'!#REF!,8,FALSE))</f>
        <v/>
      </c>
      <c r="P633" s="6" t="str">
        <f>IF(ISERROR(VLOOKUP($A633,'Plano de Contas'!#REF!,10,FALSE)),"",VLOOKUP($A633,'Plano de Contas'!#REF!,10,FALSE))</f>
        <v/>
      </c>
    </row>
    <row r="634" spans="12:16" x14ac:dyDescent="0.25">
      <c r="L634" s="1">
        <f t="shared" si="9"/>
        <v>0</v>
      </c>
      <c r="N634" s="6" t="str">
        <f>IF(ISERROR(VLOOKUP($A634,'Plano de Contas'!#REF!,8,FALSE)),"",VLOOKUP($A634,'Plano de Contas'!#REF!,8,FALSE))</f>
        <v/>
      </c>
      <c r="P634" s="6" t="str">
        <f>IF(ISERROR(VLOOKUP($A634,'Plano de Contas'!#REF!,10,FALSE)),"",VLOOKUP($A634,'Plano de Contas'!#REF!,10,FALSE))</f>
        <v/>
      </c>
    </row>
    <row r="635" spans="12:16" x14ac:dyDescent="0.25">
      <c r="L635" s="1">
        <f t="shared" si="9"/>
        <v>0</v>
      </c>
      <c r="N635" s="6" t="str">
        <f>IF(ISERROR(VLOOKUP($A635,'Plano de Contas'!#REF!,8,FALSE)),"",VLOOKUP($A635,'Plano de Contas'!#REF!,8,FALSE))</f>
        <v/>
      </c>
      <c r="P635" s="6" t="str">
        <f>IF(ISERROR(VLOOKUP($A635,'Plano de Contas'!#REF!,10,FALSE)),"",VLOOKUP($A635,'Plano de Contas'!#REF!,10,FALSE))</f>
        <v/>
      </c>
    </row>
    <row r="636" spans="12:16" x14ac:dyDescent="0.25">
      <c r="L636" s="1">
        <f t="shared" si="9"/>
        <v>0</v>
      </c>
      <c r="N636" s="6" t="str">
        <f>IF(ISERROR(VLOOKUP($A636,'Plano de Contas'!#REF!,8,FALSE)),"",VLOOKUP($A636,'Plano de Contas'!#REF!,8,FALSE))</f>
        <v/>
      </c>
      <c r="P636" s="6" t="str">
        <f>IF(ISERROR(VLOOKUP($A636,'Plano de Contas'!#REF!,10,FALSE)),"",VLOOKUP($A636,'Plano de Contas'!#REF!,10,FALSE))</f>
        <v/>
      </c>
    </row>
    <row r="637" spans="12:16" x14ac:dyDescent="0.25">
      <c r="L637" s="1">
        <f t="shared" si="9"/>
        <v>0</v>
      </c>
      <c r="N637" s="6" t="str">
        <f>IF(ISERROR(VLOOKUP($A637,'Plano de Contas'!#REF!,8,FALSE)),"",VLOOKUP($A637,'Plano de Contas'!#REF!,8,FALSE))</f>
        <v/>
      </c>
      <c r="P637" s="6" t="str">
        <f>IF(ISERROR(VLOOKUP($A637,'Plano de Contas'!#REF!,10,FALSE)),"",VLOOKUP($A637,'Plano de Contas'!#REF!,10,FALSE))</f>
        <v/>
      </c>
    </row>
    <row r="638" spans="12:16" x14ac:dyDescent="0.25">
      <c r="L638" s="1">
        <f t="shared" si="9"/>
        <v>0</v>
      </c>
      <c r="N638" s="6" t="str">
        <f>IF(ISERROR(VLOOKUP($A638,'Plano de Contas'!#REF!,8,FALSE)),"",VLOOKUP($A638,'Plano de Contas'!#REF!,8,FALSE))</f>
        <v/>
      </c>
      <c r="P638" s="6" t="str">
        <f>IF(ISERROR(VLOOKUP($A638,'Plano de Contas'!#REF!,10,FALSE)),"",VLOOKUP($A638,'Plano de Contas'!#REF!,10,FALSE))</f>
        <v/>
      </c>
    </row>
    <row r="639" spans="12:16" x14ac:dyDescent="0.25">
      <c r="L639" s="1">
        <f t="shared" si="9"/>
        <v>0</v>
      </c>
      <c r="N639" s="6" t="str">
        <f>IF(ISERROR(VLOOKUP($A639,'Plano de Contas'!#REF!,8,FALSE)),"",VLOOKUP($A639,'Plano de Contas'!#REF!,8,FALSE))</f>
        <v/>
      </c>
      <c r="P639" s="6" t="str">
        <f>IF(ISERROR(VLOOKUP($A639,'Plano de Contas'!#REF!,10,FALSE)),"",VLOOKUP($A639,'Plano de Contas'!#REF!,10,FALSE))</f>
        <v/>
      </c>
    </row>
    <row r="640" spans="12:16" x14ac:dyDescent="0.25">
      <c r="L640" s="1">
        <f t="shared" si="9"/>
        <v>0</v>
      </c>
      <c r="N640" s="6" t="str">
        <f>IF(ISERROR(VLOOKUP($A640,'Plano de Contas'!#REF!,8,FALSE)),"",VLOOKUP($A640,'Plano de Contas'!#REF!,8,FALSE))</f>
        <v/>
      </c>
      <c r="P640" s="6" t="str">
        <f>IF(ISERROR(VLOOKUP($A640,'Plano de Contas'!#REF!,10,FALSE)),"",VLOOKUP($A640,'Plano de Contas'!#REF!,10,FALSE))</f>
        <v/>
      </c>
    </row>
    <row r="641" spans="12:16" x14ac:dyDescent="0.25">
      <c r="L641" s="1">
        <f t="shared" si="9"/>
        <v>0</v>
      </c>
      <c r="N641" s="6" t="str">
        <f>IF(ISERROR(VLOOKUP($A641,'Plano de Contas'!#REF!,8,FALSE)),"",VLOOKUP($A641,'Plano de Contas'!#REF!,8,FALSE))</f>
        <v/>
      </c>
      <c r="P641" s="6" t="str">
        <f>IF(ISERROR(VLOOKUP($A641,'Plano de Contas'!#REF!,10,FALSE)),"",VLOOKUP($A641,'Plano de Contas'!#REF!,10,FALSE))</f>
        <v/>
      </c>
    </row>
    <row r="642" spans="12:16" x14ac:dyDescent="0.25">
      <c r="L642" s="1">
        <f t="shared" si="9"/>
        <v>0</v>
      </c>
      <c r="N642" s="6" t="str">
        <f>IF(ISERROR(VLOOKUP($A642,'Plano de Contas'!#REF!,8,FALSE)),"",VLOOKUP($A642,'Plano de Contas'!#REF!,8,FALSE))</f>
        <v/>
      </c>
      <c r="P642" s="6" t="str">
        <f>IF(ISERROR(VLOOKUP($A642,'Plano de Contas'!#REF!,10,FALSE)),"",VLOOKUP($A642,'Plano de Contas'!#REF!,10,FALSE))</f>
        <v/>
      </c>
    </row>
    <row r="643" spans="12:16" x14ac:dyDescent="0.25">
      <c r="L643" s="1">
        <f t="shared" si="9"/>
        <v>0</v>
      </c>
      <c r="N643" s="6" t="str">
        <f>IF(ISERROR(VLOOKUP($A643,'Plano de Contas'!#REF!,8,FALSE)),"",VLOOKUP($A643,'Plano de Contas'!#REF!,8,FALSE))</f>
        <v/>
      </c>
      <c r="P643" s="6" t="str">
        <f>IF(ISERROR(VLOOKUP($A643,'Plano de Contas'!#REF!,10,FALSE)),"",VLOOKUP($A643,'Plano de Contas'!#REF!,10,FALSE))</f>
        <v/>
      </c>
    </row>
    <row r="644" spans="12:16" x14ac:dyDescent="0.25">
      <c r="L644" s="1">
        <f t="shared" si="9"/>
        <v>0</v>
      </c>
      <c r="N644" s="6" t="str">
        <f>IF(ISERROR(VLOOKUP($A644,'Plano de Contas'!#REF!,8,FALSE)),"",VLOOKUP($A644,'Plano de Contas'!#REF!,8,FALSE))</f>
        <v/>
      </c>
      <c r="P644" s="6" t="str">
        <f>IF(ISERROR(VLOOKUP($A644,'Plano de Contas'!#REF!,10,FALSE)),"",VLOOKUP($A644,'Plano de Contas'!#REF!,10,FALSE))</f>
        <v/>
      </c>
    </row>
    <row r="645" spans="12:16" x14ac:dyDescent="0.25">
      <c r="L645" s="1">
        <f t="shared" si="9"/>
        <v>0</v>
      </c>
      <c r="N645" s="6" t="str">
        <f>IF(ISERROR(VLOOKUP($A645,'Plano de Contas'!#REF!,8,FALSE)),"",VLOOKUP($A645,'Plano de Contas'!#REF!,8,FALSE))</f>
        <v/>
      </c>
      <c r="P645" s="6" t="str">
        <f>IF(ISERROR(VLOOKUP($A645,'Plano de Contas'!#REF!,10,FALSE)),"",VLOOKUP($A645,'Plano de Contas'!#REF!,10,FALSE))</f>
        <v/>
      </c>
    </row>
    <row r="646" spans="12:16" x14ac:dyDescent="0.25">
      <c r="L646" s="1">
        <f t="shared" si="9"/>
        <v>0</v>
      </c>
      <c r="N646" s="6" t="str">
        <f>IF(ISERROR(VLOOKUP($A646,'Plano de Contas'!#REF!,8,FALSE)),"",VLOOKUP($A646,'Plano de Contas'!#REF!,8,FALSE))</f>
        <v/>
      </c>
      <c r="P646" s="6" t="str">
        <f>IF(ISERROR(VLOOKUP($A646,'Plano de Contas'!#REF!,10,FALSE)),"",VLOOKUP($A646,'Plano de Contas'!#REF!,10,FALSE))</f>
        <v/>
      </c>
    </row>
    <row r="647" spans="12:16" x14ac:dyDescent="0.25">
      <c r="L647" s="1">
        <f t="shared" si="9"/>
        <v>0</v>
      </c>
      <c r="N647" s="6" t="str">
        <f>IF(ISERROR(VLOOKUP($A647,'Plano de Contas'!#REF!,8,FALSE)),"",VLOOKUP($A647,'Plano de Contas'!#REF!,8,FALSE))</f>
        <v/>
      </c>
      <c r="P647" s="6" t="str">
        <f>IF(ISERROR(VLOOKUP($A647,'Plano de Contas'!#REF!,10,FALSE)),"",VLOOKUP($A647,'Plano de Contas'!#REF!,10,FALSE))</f>
        <v/>
      </c>
    </row>
    <row r="648" spans="12:16" x14ac:dyDescent="0.25">
      <c r="L648" s="1">
        <f t="shared" si="9"/>
        <v>0</v>
      </c>
      <c r="N648" s="6" t="str">
        <f>IF(ISERROR(VLOOKUP($A648,'Plano de Contas'!#REF!,8,FALSE)),"",VLOOKUP($A648,'Plano de Contas'!#REF!,8,FALSE))</f>
        <v/>
      </c>
      <c r="P648" s="6" t="str">
        <f>IF(ISERROR(VLOOKUP($A648,'Plano de Contas'!#REF!,10,FALSE)),"",VLOOKUP($A648,'Plano de Contas'!#REF!,10,FALSE))</f>
        <v/>
      </c>
    </row>
    <row r="649" spans="12:16" x14ac:dyDescent="0.25">
      <c r="L649" s="1">
        <f t="shared" si="9"/>
        <v>0</v>
      </c>
      <c r="N649" s="6" t="str">
        <f>IF(ISERROR(VLOOKUP($A649,'Plano de Contas'!#REF!,8,FALSE)),"",VLOOKUP($A649,'Plano de Contas'!#REF!,8,FALSE))</f>
        <v/>
      </c>
      <c r="P649" s="6" t="str">
        <f>IF(ISERROR(VLOOKUP($A649,'Plano de Contas'!#REF!,10,FALSE)),"",VLOOKUP($A649,'Plano de Contas'!#REF!,10,FALSE))</f>
        <v/>
      </c>
    </row>
    <row r="650" spans="12:16" x14ac:dyDescent="0.25">
      <c r="L650" s="1">
        <f t="shared" si="9"/>
        <v>0</v>
      </c>
      <c r="N650" s="6" t="str">
        <f>IF(ISERROR(VLOOKUP($A650,'Plano de Contas'!#REF!,8,FALSE)),"",VLOOKUP($A650,'Plano de Contas'!#REF!,8,FALSE))</f>
        <v/>
      </c>
      <c r="P650" s="6" t="str">
        <f>IF(ISERROR(VLOOKUP($A650,'Plano de Contas'!#REF!,10,FALSE)),"",VLOOKUP($A650,'Plano de Contas'!#REF!,10,FALSE))</f>
        <v/>
      </c>
    </row>
    <row r="651" spans="12:16" x14ac:dyDescent="0.25">
      <c r="L651" s="1">
        <f t="shared" si="9"/>
        <v>0</v>
      </c>
      <c r="N651" s="6" t="str">
        <f>IF(ISERROR(VLOOKUP($A651,'Plano de Contas'!#REF!,8,FALSE)),"",VLOOKUP($A651,'Plano de Contas'!#REF!,8,FALSE))</f>
        <v/>
      </c>
      <c r="P651" s="6" t="str">
        <f>IF(ISERROR(VLOOKUP($A651,'Plano de Contas'!#REF!,10,FALSE)),"",VLOOKUP($A651,'Plano de Contas'!#REF!,10,FALSE))</f>
        <v/>
      </c>
    </row>
    <row r="652" spans="12:16" x14ac:dyDescent="0.25">
      <c r="L652" s="1">
        <f t="shared" ref="L652:L715" si="10">IF(K652="-",-J652,J652)</f>
        <v>0</v>
      </c>
      <c r="N652" s="6" t="str">
        <f>IF(ISERROR(VLOOKUP($A652,'Plano de Contas'!#REF!,8,FALSE)),"",VLOOKUP($A652,'Plano de Contas'!#REF!,8,FALSE))</f>
        <v/>
      </c>
      <c r="P652" s="6" t="str">
        <f>IF(ISERROR(VLOOKUP($A652,'Plano de Contas'!#REF!,10,FALSE)),"",VLOOKUP($A652,'Plano de Contas'!#REF!,10,FALSE))</f>
        <v/>
      </c>
    </row>
    <row r="653" spans="12:16" x14ac:dyDescent="0.25">
      <c r="L653" s="1">
        <f t="shared" si="10"/>
        <v>0</v>
      </c>
      <c r="N653" s="6" t="str">
        <f>IF(ISERROR(VLOOKUP($A653,'Plano de Contas'!#REF!,8,FALSE)),"",VLOOKUP($A653,'Plano de Contas'!#REF!,8,FALSE))</f>
        <v/>
      </c>
      <c r="P653" s="6" t="str">
        <f>IF(ISERROR(VLOOKUP($A653,'Plano de Contas'!#REF!,10,FALSE)),"",VLOOKUP($A653,'Plano de Contas'!#REF!,10,FALSE))</f>
        <v/>
      </c>
    </row>
    <row r="654" spans="12:16" x14ac:dyDescent="0.25">
      <c r="L654" s="1">
        <f t="shared" si="10"/>
        <v>0</v>
      </c>
      <c r="N654" s="6" t="str">
        <f>IF(ISERROR(VLOOKUP($A654,'Plano de Contas'!#REF!,8,FALSE)),"",VLOOKUP($A654,'Plano de Contas'!#REF!,8,FALSE))</f>
        <v/>
      </c>
      <c r="P654" s="6" t="str">
        <f>IF(ISERROR(VLOOKUP($A654,'Plano de Contas'!#REF!,10,FALSE)),"",VLOOKUP($A654,'Plano de Contas'!#REF!,10,FALSE))</f>
        <v/>
      </c>
    </row>
    <row r="655" spans="12:16" x14ac:dyDescent="0.25">
      <c r="L655" s="1">
        <f t="shared" si="10"/>
        <v>0</v>
      </c>
      <c r="N655" s="6" t="str">
        <f>IF(ISERROR(VLOOKUP($A655,'Plano de Contas'!#REF!,8,FALSE)),"",VLOOKUP($A655,'Plano de Contas'!#REF!,8,FALSE))</f>
        <v/>
      </c>
      <c r="P655" s="6" t="str">
        <f>IF(ISERROR(VLOOKUP($A655,'Plano de Contas'!#REF!,10,FALSE)),"",VLOOKUP($A655,'Plano de Contas'!#REF!,10,FALSE))</f>
        <v/>
      </c>
    </row>
    <row r="656" spans="12:16" x14ac:dyDescent="0.25">
      <c r="L656" s="1">
        <f t="shared" si="10"/>
        <v>0</v>
      </c>
      <c r="N656" s="6" t="str">
        <f>IF(ISERROR(VLOOKUP($A656,'Plano de Contas'!#REF!,8,FALSE)),"",VLOOKUP($A656,'Plano de Contas'!#REF!,8,FALSE))</f>
        <v/>
      </c>
      <c r="P656" s="6" t="str">
        <f>IF(ISERROR(VLOOKUP($A656,'Plano de Contas'!#REF!,10,FALSE)),"",VLOOKUP($A656,'Plano de Contas'!#REF!,10,FALSE))</f>
        <v/>
      </c>
    </row>
    <row r="657" spans="12:16" x14ac:dyDescent="0.25">
      <c r="L657" s="1">
        <f t="shared" si="10"/>
        <v>0</v>
      </c>
      <c r="N657" s="6" t="str">
        <f>IF(ISERROR(VLOOKUP($A657,'Plano de Contas'!#REF!,8,FALSE)),"",VLOOKUP($A657,'Plano de Contas'!#REF!,8,FALSE))</f>
        <v/>
      </c>
      <c r="P657" s="6" t="str">
        <f>IF(ISERROR(VLOOKUP($A657,'Plano de Contas'!#REF!,10,FALSE)),"",VLOOKUP($A657,'Plano de Contas'!#REF!,10,FALSE))</f>
        <v/>
      </c>
    </row>
    <row r="658" spans="12:16" x14ac:dyDescent="0.25">
      <c r="L658" s="1">
        <f t="shared" si="10"/>
        <v>0</v>
      </c>
      <c r="N658" s="6" t="str">
        <f>IF(ISERROR(VLOOKUP($A658,'Plano de Contas'!#REF!,8,FALSE)),"",VLOOKUP($A658,'Plano de Contas'!#REF!,8,FALSE))</f>
        <v/>
      </c>
      <c r="P658" s="6" t="str">
        <f>IF(ISERROR(VLOOKUP($A658,'Plano de Contas'!#REF!,10,FALSE)),"",VLOOKUP($A658,'Plano de Contas'!#REF!,10,FALSE))</f>
        <v/>
      </c>
    </row>
    <row r="659" spans="12:16" x14ac:dyDescent="0.25">
      <c r="L659" s="1">
        <f t="shared" si="10"/>
        <v>0</v>
      </c>
      <c r="N659" s="6" t="str">
        <f>IF(ISERROR(VLOOKUP($A659,'Plano de Contas'!#REF!,8,FALSE)),"",VLOOKUP($A659,'Plano de Contas'!#REF!,8,FALSE))</f>
        <v/>
      </c>
      <c r="P659" s="6" t="str">
        <f>IF(ISERROR(VLOOKUP($A659,'Plano de Contas'!#REF!,10,FALSE)),"",VLOOKUP($A659,'Plano de Contas'!#REF!,10,FALSE))</f>
        <v/>
      </c>
    </row>
    <row r="660" spans="12:16" x14ac:dyDescent="0.25">
      <c r="L660" s="1">
        <f t="shared" si="10"/>
        <v>0</v>
      </c>
      <c r="N660" s="6" t="str">
        <f>IF(ISERROR(VLOOKUP($A660,'Plano de Contas'!#REF!,8,FALSE)),"",VLOOKUP($A660,'Plano de Contas'!#REF!,8,FALSE))</f>
        <v/>
      </c>
      <c r="P660" s="6" t="str">
        <f>IF(ISERROR(VLOOKUP($A660,'Plano de Contas'!#REF!,10,FALSE)),"",VLOOKUP($A660,'Plano de Contas'!#REF!,10,FALSE))</f>
        <v/>
      </c>
    </row>
    <row r="661" spans="12:16" x14ac:dyDescent="0.25">
      <c r="L661" s="1">
        <f t="shared" si="10"/>
        <v>0</v>
      </c>
      <c r="N661" s="6" t="str">
        <f>IF(ISERROR(VLOOKUP($A661,'Plano de Contas'!#REF!,8,FALSE)),"",VLOOKUP($A661,'Plano de Contas'!#REF!,8,FALSE))</f>
        <v/>
      </c>
      <c r="P661" s="6" t="str">
        <f>IF(ISERROR(VLOOKUP($A661,'Plano de Contas'!#REF!,10,FALSE)),"",VLOOKUP($A661,'Plano de Contas'!#REF!,10,FALSE))</f>
        <v/>
      </c>
    </row>
    <row r="662" spans="12:16" x14ac:dyDescent="0.25">
      <c r="L662" s="1">
        <f t="shared" si="10"/>
        <v>0</v>
      </c>
      <c r="N662" s="6" t="str">
        <f>IF(ISERROR(VLOOKUP($A662,'Plano de Contas'!#REF!,8,FALSE)),"",VLOOKUP($A662,'Plano de Contas'!#REF!,8,FALSE))</f>
        <v/>
      </c>
      <c r="P662" s="6" t="str">
        <f>IF(ISERROR(VLOOKUP($A662,'Plano de Contas'!#REF!,10,FALSE)),"",VLOOKUP($A662,'Plano de Contas'!#REF!,10,FALSE))</f>
        <v/>
      </c>
    </row>
    <row r="663" spans="12:16" x14ac:dyDescent="0.25">
      <c r="L663" s="1">
        <f t="shared" si="10"/>
        <v>0</v>
      </c>
      <c r="N663" s="6" t="str">
        <f>IF(ISERROR(VLOOKUP($A663,'Plano de Contas'!#REF!,8,FALSE)),"",VLOOKUP($A663,'Plano de Contas'!#REF!,8,FALSE))</f>
        <v/>
      </c>
      <c r="P663" s="6" t="str">
        <f>IF(ISERROR(VLOOKUP($A663,'Plano de Contas'!#REF!,10,FALSE)),"",VLOOKUP($A663,'Plano de Contas'!#REF!,10,FALSE))</f>
        <v/>
      </c>
    </row>
    <row r="664" spans="12:16" x14ac:dyDescent="0.25">
      <c r="L664" s="1">
        <f t="shared" si="10"/>
        <v>0</v>
      </c>
      <c r="N664" s="6" t="str">
        <f>IF(ISERROR(VLOOKUP($A664,'Plano de Contas'!#REF!,8,FALSE)),"",VLOOKUP($A664,'Plano de Contas'!#REF!,8,FALSE))</f>
        <v/>
      </c>
      <c r="P664" s="6" t="str">
        <f>IF(ISERROR(VLOOKUP($A664,'Plano de Contas'!#REF!,10,FALSE)),"",VLOOKUP($A664,'Plano de Contas'!#REF!,10,FALSE))</f>
        <v/>
      </c>
    </row>
    <row r="665" spans="12:16" x14ac:dyDescent="0.25">
      <c r="L665" s="1">
        <f t="shared" si="10"/>
        <v>0</v>
      </c>
      <c r="N665" s="6" t="str">
        <f>IF(ISERROR(VLOOKUP($A665,'Plano de Contas'!#REF!,8,FALSE)),"",VLOOKUP($A665,'Plano de Contas'!#REF!,8,FALSE))</f>
        <v/>
      </c>
      <c r="P665" s="6" t="str">
        <f>IF(ISERROR(VLOOKUP($A665,'Plano de Contas'!#REF!,10,FALSE)),"",VLOOKUP($A665,'Plano de Contas'!#REF!,10,FALSE))</f>
        <v/>
      </c>
    </row>
    <row r="666" spans="12:16" x14ac:dyDescent="0.25">
      <c r="L666" s="1">
        <f t="shared" si="10"/>
        <v>0</v>
      </c>
      <c r="N666" s="6" t="str">
        <f>IF(ISERROR(VLOOKUP($A666,'Plano de Contas'!#REF!,8,FALSE)),"",VLOOKUP($A666,'Plano de Contas'!#REF!,8,FALSE))</f>
        <v/>
      </c>
      <c r="P666" s="6" t="str">
        <f>IF(ISERROR(VLOOKUP($A666,'Plano de Contas'!#REF!,10,FALSE)),"",VLOOKUP($A666,'Plano de Contas'!#REF!,10,FALSE))</f>
        <v/>
      </c>
    </row>
    <row r="667" spans="12:16" x14ac:dyDescent="0.25">
      <c r="L667" s="1">
        <f t="shared" si="10"/>
        <v>0</v>
      </c>
      <c r="N667" s="6" t="str">
        <f>IF(ISERROR(VLOOKUP($A667,'Plano de Contas'!#REF!,8,FALSE)),"",VLOOKUP($A667,'Plano de Contas'!#REF!,8,FALSE))</f>
        <v/>
      </c>
      <c r="P667" s="6" t="str">
        <f>IF(ISERROR(VLOOKUP($A667,'Plano de Contas'!#REF!,10,FALSE)),"",VLOOKUP($A667,'Plano de Contas'!#REF!,10,FALSE))</f>
        <v/>
      </c>
    </row>
    <row r="668" spans="12:16" x14ac:dyDescent="0.25">
      <c r="L668" s="1">
        <f t="shared" si="10"/>
        <v>0</v>
      </c>
      <c r="N668" s="6" t="str">
        <f>IF(ISERROR(VLOOKUP($A668,'Plano de Contas'!#REF!,8,FALSE)),"",VLOOKUP($A668,'Plano de Contas'!#REF!,8,FALSE))</f>
        <v/>
      </c>
      <c r="P668" s="6" t="str">
        <f>IF(ISERROR(VLOOKUP($A668,'Plano de Contas'!#REF!,10,FALSE)),"",VLOOKUP($A668,'Plano de Contas'!#REF!,10,FALSE))</f>
        <v/>
      </c>
    </row>
    <row r="669" spans="12:16" x14ac:dyDescent="0.25">
      <c r="L669" s="1">
        <f t="shared" si="10"/>
        <v>0</v>
      </c>
      <c r="N669" s="6" t="str">
        <f>IF(ISERROR(VLOOKUP($A669,'Plano de Contas'!#REF!,8,FALSE)),"",VLOOKUP($A669,'Plano de Contas'!#REF!,8,FALSE))</f>
        <v/>
      </c>
      <c r="P669" s="6" t="str">
        <f>IF(ISERROR(VLOOKUP($A669,'Plano de Contas'!#REF!,10,FALSE)),"",VLOOKUP($A669,'Plano de Contas'!#REF!,10,FALSE))</f>
        <v/>
      </c>
    </row>
    <row r="670" spans="12:16" x14ac:dyDescent="0.25">
      <c r="L670" s="1">
        <f t="shared" si="10"/>
        <v>0</v>
      </c>
      <c r="N670" s="6" t="str">
        <f>IF(ISERROR(VLOOKUP($A670,'Plano de Contas'!#REF!,8,FALSE)),"",VLOOKUP($A670,'Plano de Contas'!#REF!,8,FALSE))</f>
        <v/>
      </c>
      <c r="P670" s="6" t="str">
        <f>IF(ISERROR(VLOOKUP($A670,'Plano de Contas'!#REF!,10,FALSE)),"",VLOOKUP($A670,'Plano de Contas'!#REF!,10,FALSE))</f>
        <v/>
      </c>
    </row>
    <row r="671" spans="12:16" x14ac:dyDescent="0.25">
      <c r="L671" s="1">
        <f t="shared" si="10"/>
        <v>0</v>
      </c>
      <c r="N671" s="6" t="str">
        <f>IF(ISERROR(VLOOKUP($A671,'Plano de Contas'!#REF!,8,FALSE)),"",VLOOKUP($A671,'Plano de Contas'!#REF!,8,FALSE))</f>
        <v/>
      </c>
      <c r="P671" s="6" t="str">
        <f>IF(ISERROR(VLOOKUP($A671,'Plano de Contas'!#REF!,10,FALSE)),"",VLOOKUP($A671,'Plano de Contas'!#REF!,10,FALSE))</f>
        <v/>
      </c>
    </row>
    <row r="672" spans="12:16" x14ac:dyDescent="0.25">
      <c r="L672" s="1">
        <f t="shared" si="10"/>
        <v>0</v>
      </c>
      <c r="N672" s="6" t="str">
        <f>IF(ISERROR(VLOOKUP($A672,'Plano de Contas'!#REF!,8,FALSE)),"",VLOOKUP($A672,'Plano de Contas'!#REF!,8,FALSE))</f>
        <v/>
      </c>
      <c r="P672" s="6" t="str">
        <f>IF(ISERROR(VLOOKUP($A672,'Plano de Contas'!#REF!,10,FALSE)),"",VLOOKUP($A672,'Plano de Contas'!#REF!,10,FALSE))</f>
        <v/>
      </c>
    </row>
    <row r="673" spans="12:16" x14ac:dyDescent="0.25">
      <c r="L673" s="1">
        <f t="shared" si="10"/>
        <v>0</v>
      </c>
      <c r="N673" s="6" t="str">
        <f>IF(ISERROR(VLOOKUP($A673,'Plano de Contas'!#REF!,8,FALSE)),"",VLOOKUP($A673,'Plano de Contas'!#REF!,8,FALSE))</f>
        <v/>
      </c>
      <c r="P673" s="6" t="str">
        <f>IF(ISERROR(VLOOKUP($A673,'Plano de Contas'!#REF!,10,FALSE)),"",VLOOKUP($A673,'Plano de Contas'!#REF!,10,FALSE))</f>
        <v/>
      </c>
    </row>
    <row r="674" spans="12:16" x14ac:dyDescent="0.25">
      <c r="L674" s="1">
        <f t="shared" si="10"/>
        <v>0</v>
      </c>
      <c r="N674" s="6" t="str">
        <f>IF(ISERROR(VLOOKUP($A674,'Plano de Contas'!#REF!,8,FALSE)),"",VLOOKUP($A674,'Plano de Contas'!#REF!,8,FALSE))</f>
        <v/>
      </c>
      <c r="P674" s="6" t="str">
        <f>IF(ISERROR(VLOOKUP($A674,'Plano de Contas'!#REF!,10,FALSE)),"",VLOOKUP($A674,'Plano de Contas'!#REF!,10,FALSE))</f>
        <v/>
      </c>
    </row>
    <row r="675" spans="12:16" x14ac:dyDescent="0.25">
      <c r="L675" s="1">
        <f t="shared" si="10"/>
        <v>0</v>
      </c>
      <c r="N675" s="6" t="str">
        <f>IF(ISERROR(VLOOKUP($A675,'Plano de Contas'!#REF!,8,FALSE)),"",VLOOKUP($A675,'Plano de Contas'!#REF!,8,FALSE))</f>
        <v/>
      </c>
      <c r="P675" s="6" t="str">
        <f>IF(ISERROR(VLOOKUP($A675,'Plano de Contas'!#REF!,10,FALSE)),"",VLOOKUP($A675,'Plano de Contas'!#REF!,10,FALSE))</f>
        <v/>
      </c>
    </row>
    <row r="676" spans="12:16" x14ac:dyDescent="0.25">
      <c r="L676" s="1">
        <f t="shared" si="10"/>
        <v>0</v>
      </c>
      <c r="N676" s="6" t="str">
        <f>IF(ISERROR(VLOOKUP($A676,'Plano de Contas'!#REF!,8,FALSE)),"",VLOOKUP($A676,'Plano de Contas'!#REF!,8,FALSE))</f>
        <v/>
      </c>
      <c r="P676" s="6" t="str">
        <f>IF(ISERROR(VLOOKUP($A676,'Plano de Contas'!#REF!,10,FALSE)),"",VLOOKUP($A676,'Plano de Contas'!#REF!,10,FALSE))</f>
        <v/>
      </c>
    </row>
    <row r="677" spans="12:16" x14ac:dyDescent="0.25">
      <c r="L677" s="1">
        <f t="shared" si="10"/>
        <v>0</v>
      </c>
      <c r="N677" s="6" t="str">
        <f>IF(ISERROR(VLOOKUP($A677,'Plano de Contas'!#REF!,8,FALSE)),"",VLOOKUP($A677,'Plano de Contas'!#REF!,8,FALSE))</f>
        <v/>
      </c>
      <c r="P677" s="6" t="str">
        <f>IF(ISERROR(VLOOKUP($A677,'Plano de Contas'!#REF!,10,FALSE)),"",VLOOKUP($A677,'Plano de Contas'!#REF!,10,FALSE))</f>
        <v/>
      </c>
    </row>
    <row r="678" spans="12:16" x14ac:dyDescent="0.25">
      <c r="L678" s="1">
        <f t="shared" si="10"/>
        <v>0</v>
      </c>
      <c r="N678" s="6" t="str">
        <f>IF(ISERROR(VLOOKUP($A678,'Plano de Contas'!#REF!,8,FALSE)),"",VLOOKUP($A678,'Plano de Contas'!#REF!,8,FALSE))</f>
        <v/>
      </c>
      <c r="P678" s="6" t="str">
        <f>IF(ISERROR(VLOOKUP($A678,'Plano de Contas'!#REF!,10,FALSE)),"",VLOOKUP($A678,'Plano de Contas'!#REF!,10,FALSE))</f>
        <v/>
      </c>
    </row>
    <row r="679" spans="12:16" x14ac:dyDescent="0.25">
      <c r="L679" s="1">
        <f t="shared" si="10"/>
        <v>0</v>
      </c>
      <c r="N679" s="6" t="str">
        <f>IF(ISERROR(VLOOKUP($A679,'Plano de Contas'!#REF!,8,FALSE)),"",VLOOKUP($A679,'Plano de Contas'!#REF!,8,FALSE))</f>
        <v/>
      </c>
      <c r="P679" s="6" t="str">
        <f>IF(ISERROR(VLOOKUP($A679,'Plano de Contas'!#REF!,10,FALSE)),"",VLOOKUP($A679,'Plano de Contas'!#REF!,10,FALSE))</f>
        <v/>
      </c>
    </row>
    <row r="680" spans="12:16" x14ac:dyDescent="0.25">
      <c r="L680" s="1">
        <f t="shared" si="10"/>
        <v>0</v>
      </c>
      <c r="N680" s="6" t="str">
        <f>IF(ISERROR(VLOOKUP($A680,'Plano de Contas'!#REF!,8,FALSE)),"",VLOOKUP($A680,'Plano de Contas'!#REF!,8,FALSE))</f>
        <v/>
      </c>
      <c r="P680" s="6" t="str">
        <f>IF(ISERROR(VLOOKUP($A680,'Plano de Contas'!#REF!,10,FALSE)),"",VLOOKUP($A680,'Plano de Contas'!#REF!,10,FALSE))</f>
        <v/>
      </c>
    </row>
    <row r="681" spans="12:16" x14ac:dyDescent="0.25">
      <c r="L681" s="1">
        <f t="shared" si="10"/>
        <v>0</v>
      </c>
      <c r="N681" s="6" t="str">
        <f>IF(ISERROR(VLOOKUP($A681,'Plano de Contas'!#REF!,8,FALSE)),"",VLOOKUP($A681,'Plano de Contas'!#REF!,8,FALSE))</f>
        <v/>
      </c>
      <c r="P681" s="6" t="str">
        <f>IF(ISERROR(VLOOKUP($A681,'Plano de Contas'!#REF!,10,FALSE)),"",VLOOKUP($A681,'Plano de Contas'!#REF!,10,FALSE))</f>
        <v/>
      </c>
    </row>
    <row r="682" spans="12:16" x14ac:dyDescent="0.25">
      <c r="L682" s="1">
        <f t="shared" si="10"/>
        <v>0</v>
      </c>
      <c r="N682" s="6" t="str">
        <f>IF(ISERROR(VLOOKUP($A682,'Plano de Contas'!#REF!,8,FALSE)),"",VLOOKUP($A682,'Plano de Contas'!#REF!,8,FALSE))</f>
        <v/>
      </c>
      <c r="P682" s="6" t="str">
        <f>IF(ISERROR(VLOOKUP($A682,'Plano de Contas'!#REF!,10,FALSE)),"",VLOOKUP($A682,'Plano de Contas'!#REF!,10,FALSE))</f>
        <v/>
      </c>
    </row>
    <row r="683" spans="12:16" x14ac:dyDescent="0.25">
      <c r="L683" s="1">
        <f t="shared" si="10"/>
        <v>0</v>
      </c>
      <c r="N683" s="6" t="str">
        <f>IF(ISERROR(VLOOKUP($A683,'Plano de Contas'!#REF!,8,FALSE)),"",VLOOKUP($A683,'Plano de Contas'!#REF!,8,FALSE))</f>
        <v/>
      </c>
      <c r="P683" s="6" t="str">
        <f>IF(ISERROR(VLOOKUP($A683,'Plano de Contas'!#REF!,10,FALSE)),"",VLOOKUP($A683,'Plano de Contas'!#REF!,10,FALSE))</f>
        <v/>
      </c>
    </row>
    <row r="684" spans="12:16" x14ac:dyDescent="0.25">
      <c r="L684" s="1">
        <f t="shared" si="10"/>
        <v>0</v>
      </c>
      <c r="N684" s="6" t="str">
        <f>IF(ISERROR(VLOOKUP($A684,'Plano de Contas'!#REF!,8,FALSE)),"",VLOOKUP($A684,'Plano de Contas'!#REF!,8,FALSE))</f>
        <v/>
      </c>
      <c r="P684" s="6" t="str">
        <f>IF(ISERROR(VLOOKUP($A684,'Plano de Contas'!#REF!,10,FALSE)),"",VLOOKUP($A684,'Plano de Contas'!#REF!,10,FALSE))</f>
        <v/>
      </c>
    </row>
    <row r="685" spans="12:16" x14ac:dyDescent="0.25">
      <c r="L685" s="1">
        <f t="shared" si="10"/>
        <v>0</v>
      </c>
      <c r="N685" s="6" t="str">
        <f>IF(ISERROR(VLOOKUP($A685,'Plano de Contas'!#REF!,8,FALSE)),"",VLOOKUP($A685,'Plano de Contas'!#REF!,8,FALSE))</f>
        <v/>
      </c>
      <c r="P685" s="6" t="str">
        <f>IF(ISERROR(VLOOKUP($A685,'Plano de Contas'!#REF!,10,FALSE)),"",VLOOKUP($A685,'Plano de Contas'!#REF!,10,FALSE))</f>
        <v/>
      </c>
    </row>
    <row r="686" spans="12:16" x14ac:dyDescent="0.25">
      <c r="L686" s="1">
        <f t="shared" si="10"/>
        <v>0</v>
      </c>
      <c r="N686" s="6" t="str">
        <f>IF(ISERROR(VLOOKUP($A686,'Plano de Contas'!#REF!,8,FALSE)),"",VLOOKUP($A686,'Plano de Contas'!#REF!,8,FALSE))</f>
        <v/>
      </c>
      <c r="P686" s="6" t="str">
        <f>IF(ISERROR(VLOOKUP($A686,'Plano de Contas'!#REF!,10,FALSE)),"",VLOOKUP($A686,'Plano de Contas'!#REF!,10,FALSE))</f>
        <v/>
      </c>
    </row>
    <row r="687" spans="12:16" x14ac:dyDescent="0.25">
      <c r="L687" s="1">
        <f t="shared" si="10"/>
        <v>0</v>
      </c>
      <c r="N687" s="6" t="str">
        <f>IF(ISERROR(VLOOKUP($A687,'Plano de Contas'!#REF!,8,FALSE)),"",VLOOKUP($A687,'Plano de Contas'!#REF!,8,FALSE))</f>
        <v/>
      </c>
      <c r="P687" s="6" t="str">
        <f>IF(ISERROR(VLOOKUP($A687,'Plano de Contas'!#REF!,10,FALSE)),"",VLOOKUP($A687,'Plano de Contas'!#REF!,10,FALSE))</f>
        <v/>
      </c>
    </row>
    <row r="688" spans="12:16" x14ac:dyDescent="0.25">
      <c r="L688" s="1">
        <f t="shared" si="10"/>
        <v>0</v>
      </c>
      <c r="N688" s="6" t="str">
        <f>IF(ISERROR(VLOOKUP($A688,'Plano de Contas'!#REF!,8,FALSE)),"",VLOOKUP($A688,'Plano de Contas'!#REF!,8,FALSE))</f>
        <v/>
      </c>
      <c r="P688" s="6" t="str">
        <f>IF(ISERROR(VLOOKUP($A688,'Plano de Contas'!#REF!,10,FALSE)),"",VLOOKUP($A688,'Plano de Contas'!#REF!,10,FALSE))</f>
        <v/>
      </c>
    </row>
    <row r="689" spans="12:16" x14ac:dyDescent="0.25">
      <c r="L689" s="1">
        <f t="shared" si="10"/>
        <v>0</v>
      </c>
      <c r="N689" s="6" t="str">
        <f>IF(ISERROR(VLOOKUP($A689,'Plano de Contas'!#REF!,8,FALSE)),"",VLOOKUP($A689,'Plano de Contas'!#REF!,8,FALSE))</f>
        <v/>
      </c>
      <c r="P689" s="6" t="str">
        <f>IF(ISERROR(VLOOKUP($A689,'Plano de Contas'!#REF!,10,FALSE)),"",VLOOKUP($A689,'Plano de Contas'!#REF!,10,FALSE))</f>
        <v/>
      </c>
    </row>
    <row r="690" spans="12:16" x14ac:dyDescent="0.25">
      <c r="L690" s="1">
        <f t="shared" si="10"/>
        <v>0</v>
      </c>
      <c r="N690" s="6" t="str">
        <f>IF(ISERROR(VLOOKUP($A690,'Plano de Contas'!#REF!,8,FALSE)),"",VLOOKUP($A690,'Plano de Contas'!#REF!,8,FALSE))</f>
        <v/>
      </c>
      <c r="P690" s="6" t="str">
        <f>IF(ISERROR(VLOOKUP($A690,'Plano de Contas'!#REF!,10,FALSE)),"",VLOOKUP($A690,'Plano de Contas'!#REF!,10,FALSE))</f>
        <v/>
      </c>
    </row>
    <row r="691" spans="12:16" x14ac:dyDescent="0.25">
      <c r="L691" s="1">
        <f t="shared" si="10"/>
        <v>0</v>
      </c>
      <c r="N691" s="6" t="str">
        <f>IF(ISERROR(VLOOKUP($A691,'Plano de Contas'!#REF!,8,FALSE)),"",VLOOKUP($A691,'Plano de Contas'!#REF!,8,FALSE))</f>
        <v/>
      </c>
      <c r="P691" s="6" t="str">
        <f>IF(ISERROR(VLOOKUP($A691,'Plano de Contas'!#REF!,10,FALSE)),"",VLOOKUP($A691,'Plano de Contas'!#REF!,10,FALSE))</f>
        <v/>
      </c>
    </row>
    <row r="692" spans="12:16" x14ac:dyDescent="0.25">
      <c r="L692" s="1">
        <f t="shared" si="10"/>
        <v>0</v>
      </c>
      <c r="N692" s="6" t="str">
        <f>IF(ISERROR(VLOOKUP($A692,'Plano de Contas'!#REF!,8,FALSE)),"",VLOOKUP($A692,'Plano de Contas'!#REF!,8,FALSE))</f>
        <v/>
      </c>
      <c r="P692" s="6" t="str">
        <f>IF(ISERROR(VLOOKUP($A692,'Plano de Contas'!#REF!,10,FALSE)),"",VLOOKUP($A692,'Plano de Contas'!#REF!,10,FALSE))</f>
        <v/>
      </c>
    </row>
    <row r="693" spans="12:16" x14ac:dyDescent="0.25">
      <c r="L693" s="1">
        <f t="shared" si="10"/>
        <v>0</v>
      </c>
      <c r="N693" s="6" t="str">
        <f>IF(ISERROR(VLOOKUP($A693,'Plano de Contas'!#REF!,8,FALSE)),"",VLOOKUP($A693,'Plano de Contas'!#REF!,8,FALSE))</f>
        <v/>
      </c>
      <c r="P693" s="6" t="str">
        <f>IF(ISERROR(VLOOKUP($A693,'Plano de Contas'!#REF!,10,FALSE)),"",VLOOKUP($A693,'Plano de Contas'!#REF!,10,FALSE))</f>
        <v/>
      </c>
    </row>
    <row r="694" spans="12:16" x14ac:dyDescent="0.25">
      <c r="L694" s="1">
        <f t="shared" si="10"/>
        <v>0</v>
      </c>
      <c r="N694" s="6" t="str">
        <f>IF(ISERROR(VLOOKUP($A694,'Plano de Contas'!#REF!,8,FALSE)),"",VLOOKUP($A694,'Plano de Contas'!#REF!,8,FALSE))</f>
        <v/>
      </c>
      <c r="P694" s="6" t="str">
        <f>IF(ISERROR(VLOOKUP($A694,'Plano de Contas'!#REF!,10,FALSE)),"",VLOOKUP($A694,'Plano de Contas'!#REF!,10,FALSE))</f>
        <v/>
      </c>
    </row>
    <row r="695" spans="12:16" x14ac:dyDescent="0.25">
      <c r="L695" s="1">
        <f t="shared" si="10"/>
        <v>0</v>
      </c>
      <c r="N695" s="6" t="str">
        <f>IF(ISERROR(VLOOKUP($A695,'Plano de Contas'!#REF!,8,FALSE)),"",VLOOKUP($A695,'Plano de Contas'!#REF!,8,FALSE))</f>
        <v/>
      </c>
      <c r="P695" s="6" t="str">
        <f>IF(ISERROR(VLOOKUP($A695,'Plano de Contas'!#REF!,10,FALSE)),"",VLOOKUP($A695,'Plano de Contas'!#REF!,10,FALSE))</f>
        <v/>
      </c>
    </row>
    <row r="696" spans="12:16" x14ac:dyDescent="0.25">
      <c r="L696" s="1">
        <f t="shared" si="10"/>
        <v>0</v>
      </c>
      <c r="N696" s="6" t="str">
        <f>IF(ISERROR(VLOOKUP($A696,'Plano de Contas'!#REF!,8,FALSE)),"",VLOOKUP($A696,'Plano de Contas'!#REF!,8,FALSE))</f>
        <v/>
      </c>
      <c r="P696" s="6" t="str">
        <f>IF(ISERROR(VLOOKUP($A696,'Plano de Contas'!#REF!,10,FALSE)),"",VLOOKUP($A696,'Plano de Contas'!#REF!,10,FALSE))</f>
        <v/>
      </c>
    </row>
    <row r="697" spans="12:16" x14ac:dyDescent="0.25">
      <c r="L697" s="1">
        <f t="shared" si="10"/>
        <v>0</v>
      </c>
      <c r="N697" s="6" t="str">
        <f>IF(ISERROR(VLOOKUP($A697,'Plano de Contas'!#REF!,8,FALSE)),"",VLOOKUP($A697,'Plano de Contas'!#REF!,8,FALSE))</f>
        <v/>
      </c>
      <c r="P697" s="6" t="str">
        <f>IF(ISERROR(VLOOKUP($A697,'Plano de Contas'!#REF!,10,FALSE)),"",VLOOKUP($A697,'Plano de Contas'!#REF!,10,FALSE))</f>
        <v/>
      </c>
    </row>
    <row r="698" spans="12:16" x14ac:dyDescent="0.25">
      <c r="L698" s="1">
        <f t="shared" si="10"/>
        <v>0</v>
      </c>
      <c r="N698" s="6" t="str">
        <f>IF(ISERROR(VLOOKUP($A698,'Plano de Contas'!#REF!,8,FALSE)),"",VLOOKUP($A698,'Plano de Contas'!#REF!,8,FALSE))</f>
        <v/>
      </c>
      <c r="P698" s="6" t="str">
        <f>IF(ISERROR(VLOOKUP($A698,'Plano de Contas'!#REF!,10,FALSE)),"",VLOOKUP($A698,'Plano de Contas'!#REF!,10,FALSE))</f>
        <v/>
      </c>
    </row>
    <row r="699" spans="12:16" x14ac:dyDescent="0.25">
      <c r="L699" s="1">
        <f t="shared" si="10"/>
        <v>0</v>
      </c>
      <c r="N699" s="6" t="str">
        <f>IF(ISERROR(VLOOKUP($A699,'Plano de Contas'!#REF!,8,FALSE)),"",VLOOKUP($A699,'Plano de Contas'!#REF!,8,FALSE))</f>
        <v/>
      </c>
      <c r="P699" s="6" t="str">
        <f>IF(ISERROR(VLOOKUP($A699,'Plano de Contas'!#REF!,10,FALSE)),"",VLOOKUP($A699,'Plano de Contas'!#REF!,10,FALSE))</f>
        <v/>
      </c>
    </row>
    <row r="700" spans="12:16" x14ac:dyDescent="0.25">
      <c r="L700" s="1">
        <f t="shared" si="10"/>
        <v>0</v>
      </c>
      <c r="N700" s="6" t="str">
        <f>IF(ISERROR(VLOOKUP($A700,'Plano de Contas'!#REF!,8,FALSE)),"",VLOOKUP($A700,'Plano de Contas'!#REF!,8,FALSE))</f>
        <v/>
      </c>
      <c r="P700" s="6" t="str">
        <f>IF(ISERROR(VLOOKUP($A700,'Plano de Contas'!#REF!,10,FALSE)),"",VLOOKUP($A700,'Plano de Contas'!#REF!,10,FALSE))</f>
        <v/>
      </c>
    </row>
    <row r="701" spans="12:16" x14ac:dyDescent="0.25">
      <c r="L701" s="1">
        <f t="shared" si="10"/>
        <v>0</v>
      </c>
      <c r="N701" s="6" t="str">
        <f>IF(ISERROR(VLOOKUP($A701,'Plano de Contas'!#REF!,8,FALSE)),"",VLOOKUP($A701,'Plano de Contas'!#REF!,8,FALSE))</f>
        <v/>
      </c>
      <c r="P701" s="6" t="str">
        <f>IF(ISERROR(VLOOKUP($A701,'Plano de Contas'!#REF!,10,FALSE)),"",VLOOKUP($A701,'Plano de Contas'!#REF!,10,FALSE))</f>
        <v/>
      </c>
    </row>
    <row r="702" spans="12:16" x14ac:dyDescent="0.25">
      <c r="L702" s="1">
        <f t="shared" si="10"/>
        <v>0</v>
      </c>
      <c r="N702" s="6" t="str">
        <f>IF(ISERROR(VLOOKUP($A702,'Plano de Contas'!#REF!,8,FALSE)),"",VLOOKUP($A702,'Plano de Contas'!#REF!,8,FALSE))</f>
        <v/>
      </c>
      <c r="P702" s="6" t="str">
        <f>IF(ISERROR(VLOOKUP($A702,'Plano de Contas'!#REF!,10,FALSE)),"",VLOOKUP($A702,'Plano de Contas'!#REF!,10,FALSE))</f>
        <v/>
      </c>
    </row>
    <row r="703" spans="12:16" x14ac:dyDescent="0.25">
      <c r="L703" s="1">
        <f t="shared" si="10"/>
        <v>0</v>
      </c>
      <c r="N703" s="6" t="str">
        <f>IF(ISERROR(VLOOKUP($A703,'Plano de Contas'!#REF!,8,FALSE)),"",VLOOKUP($A703,'Plano de Contas'!#REF!,8,FALSE))</f>
        <v/>
      </c>
      <c r="P703" s="6" t="str">
        <f>IF(ISERROR(VLOOKUP($A703,'Plano de Contas'!#REF!,10,FALSE)),"",VLOOKUP($A703,'Plano de Contas'!#REF!,10,FALSE))</f>
        <v/>
      </c>
    </row>
    <row r="704" spans="12:16" x14ac:dyDescent="0.25">
      <c r="L704" s="1">
        <f t="shared" si="10"/>
        <v>0</v>
      </c>
      <c r="N704" s="6" t="str">
        <f>IF(ISERROR(VLOOKUP($A704,'Plano de Contas'!#REF!,8,FALSE)),"",VLOOKUP($A704,'Plano de Contas'!#REF!,8,FALSE))</f>
        <v/>
      </c>
      <c r="P704" s="6" t="str">
        <f>IF(ISERROR(VLOOKUP($A704,'Plano de Contas'!#REF!,10,FALSE)),"",VLOOKUP($A704,'Plano de Contas'!#REF!,10,FALSE))</f>
        <v/>
      </c>
    </row>
    <row r="705" spans="12:16" x14ac:dyDescent="0.25">
      <c r="L705" s="1">
        <f t="shared" si="10"/>
        <v>0</v>
      </c>
      <c r="N705" s="6" t="str">
        <f>IF(ISERROR(VLOOKUP($A705,'Plano de Contas'!#REF!,8,FALSE)),"",VLOOKUP($A705,'Plano de Contas'!#REF!,8,FALSE))</f>
        <v/>
      </c>
      <c r="P705" s="6" t="str">
        <f>IF(ISERROR(VLOOKUP($A705,'Plano de Contas'!#REF!,10,FALSE)),"",VLOOKUP($A705,'Plano de Contas'!#REF!,10,FALSE))</f>
        <v/>
      </c>
    </row>
    <row r="706" spans="12:16" x14ac:dyDescent="0.25">
      <c r="L706" s="1">
        <f t="shared" si="10"/>
        <v>0</v>
      </c>
      <c r="N706" s="6" t="str">
        <f>IF(ISERROR(VLOOKUP($A706,'Plano de Contas'!#REF!,8,FALSE)),"",VLOOKUP($A706,'Plano de Contas'!#REF!,8,FALSE))</f>
        <v/>
      </c>
      <c r="P706" s="6" t="str">
        <f>IF(ISERROR(VLOOKUP($A706,'Plano de Contas'!#REF!,10,FALSE)),"",VLOOKUP($A706,'Plano de Contas'!#REF!,10,FALSE))</f>
        <v/>
      </c>
    </row>
    <row r="707" spans="12:16" x14ac:dyDescent="0.25">
      <c r="L707" s="1">
        <f t="shared" si="10"/>
        <v>0</v>
      </c>
      <c r="N707" s="6" t="str">
        <f>IF(ISERROR(VLOOKUP($A707,'Plano de Contas'!#REF!,8,FALSE)),"",VLOOKUP($A707,'Plano de Contas'!#REF!,8,FALSE))</f>
        <v/>
      </c>
      <c r="P707" s="6" t="str">
        <f>IF(ISERROR(VLOOKUP($A707,'Plano de Contas'!#REF!,10,FALSE)),"",VLOOKUP($A707,'Plano de Contas'!#REF!,10,FALSE))</f>
        <v/>
      </c>
    </row>
    <row r="708" spans="12:16" x14ac:dyDescent="0.25">
      <c r="L708" s="1">
        <f t="shared" si="10"/>
        <v>0</v>
      </c>
      <c r="N708" s="6" t="str">
        <f>IF(ISERROR(VLOOKUP($A708,'Plano de Contas'!#REF!,8,FALSE)),"",VLOOKUP($A708,'Plano de Contas'!#REF!,8,FALSE))</f>
        <v/>
      </c>
      <c r="P708" s="6" t="str">
        <f>IF(ISERROR(VLOOKUP($A708,'Plano de Contas'!#REF!,10,FALSE)),"",VLOOKUP($A708,'Plano de Contas'!#REF!,10,FALSE))</f>
        <v/>
      </c>
    </row>
    <row r="709" spans="12:16" x14ac:dyDescent="0.25">
      <c r="L709" s="1">
        <f t="shared" si="10"/>
        <v>0</v>
      </c>
      <c r="N709" s="6" t="str">
        <f>IF(ISERROR(VLOOKUP($A709,'Plano de Contas'!#REF!,8,FALSE)),"",VLOOKUP($A709,'Plano de Contas'!#REF!,8,FALSE))</f>
        <v/>
      </c>
      <c r="P709" s="6" t="str">
        <f>IF(ISERROR(VLOOKUP($A709,'Plano de Contas'!#REF!,10,FALSE)),"",VLOOKUP($A709,'Plano de Contas'!#REF!,10,FALSE))</f>
        <v/>
      </c>
    </row>
    <row r="710" spans="12:16" x14ac:dyDescent="0.25">
      <c r="L710" s="1">
        <f t="shared" si="10"/>
        <v>0</v>
      </c>
      <c r="N710" s="6" t="str">
        <f>IF(ISERROR(VLOOKUP($A710,'Plano de Contas'!#REF!,8,FALSE)),"",VLOOKUP($A710,'Plano de Contas'!#REF!,8,FALSE))</f>
        <v/>
      </c>
      <c r="P710" s="6" t="str">
        <f>IF(ISERROR(VLOOKUP($A710,'Plano de Contas'!#REF!,10,FALSE)),"",VLOOKUP($A710,'Plano de Contas'!#REF!,10,FALSE))</f>
        <v/>
      </c>
    </row>
    <row r="711" spans="12:16" x14ac:dyDescent="0.25">
      <c r="L711" s="1">
        <f t="shared" si="10"/>
        <v>0</v>
      </c>
      <c r="N711" s="6" t="str">
        <f>IF(ISERROR(VLOOKUP($A711,'Plano de Contas'!#REF!,8,FALSE)),"",VLOOKUP($A711,'Plano de Contas'!#REF!,8,FALSE))</f>
        <v/>
      </c>
      <c r="P711" s="6" t="str">
        <f>IF(ISERROR(VLOOKUP($A711,'Plano de Contas'!#REF!,10,FALSE)),"",VLOOKUP($A711,'Plano de Contas'!#REF!,10,FALSE))</f>
        <v/>
      </c>
    </row>
    <row r="712" spans="12:16" x14ac:dyDescent="0.25">
      <c r="L712" s="1">
        <f t="shared" si="10"/>
        <v>0</v>
      </c>
      <c r="N712" s="6" t="str">
        <f>IF(ISERROR(VLOOKUP($A712,'Plano de Contas'!#REF!,8,FALSE)),"",VLOOKUP($A712,'Plano de Contas'!#REF!,8,FALSE))</f>
        <v/>
      </c>
      <c r="P712" s="6" t="str">
        <f>IF(ISERROR(VLOOKUP($A712,'Plano de Contas'!#REF!,10,FALSE)),"",VLOOKUP($A712,'Plano de Contas'!#REF!,10,FALSE))</f>
        <v/>
      </c>
    </row>
    <row r="713" spans="12:16" x14ac:dyDescent="0.25">
      <c r="L713" s="1">
        <f t="shared" si="10"/>
        <v>0</v>
      </c>
      <c r="N713" s="6" t="str">
        <f>IF(ISERROR(VLOOKUP($A713,'Plano de Contas'!#REF!,8,FALSE)),"",VLOOKUP($A713,'Plano de Contas'!#REF!,8,FALSE))</f>
        <v/>
      </c>
      <c r="P713" s="6" t="str">
        <f>IF(ISERROR(VLOOKUP($A713,'Plano de Contas'!#REF!,10,FALSE)),"",VLOOKUP($A713,'Plano de Contas'!#REF!,10,FALSE))</f>
        <v/>
      </c>
    </row>
    <row r="714" spans="12:16" x14ac:dyDescent="0.25">
      <c r="L714" s="1">
        <f t="shared" si="10"/>
        <v>0</v>
      </c>
      <c r="N714" s="6" t="str">
        <f>IF(ISERROR(VLOOKUP($A714,'Plano de Contas'!#REF!,8,FALSE)),"",VLOOKUP($A714,'Plano de Contas'!#REF!,8,FALSE))</f>
        <v/>
      </c>
      <c r="P714" s="6" t="str">
        <f>IF(ISERROR(VLOOKUP($A714,'Plano de Contas'!#REF!,10,FALSE)),"",VLOOKUP($A714,'Plano de Contas'!#REF!,10,FALSE))</f>
        <v/>
      </c>
    </row>
    <row r="715" spans="12:16" x14ac:dyDescent="0.25">
      <c r="L715" s="1">
        <f t="shared" si="10"/>
        <v>0</v>
      </c>
      <c r="N715" s="6" t="str">
        <f>IF(ISERROR(VLOOKUP($A715,'Plano de Contas'!#REF!,8,FALSE)),"",VLOOKUP($A715,'Plano de Contas'!#REF!,8,FALSE))</f>
        <v/>
      </c>
      <c r="P715" s="6" t="str">
        <f>IF(ISERROR(VLOOKUP($A715,'Plano de Contas'!#REF!,10,FALSE)),"",VLOOKUP($A715,'Plano de Contas'!#REF!,10,FALSE))</f>
        <v/>
      </c>
    </row>
    <row r="716" spans="12:16" x14ac:dyDescent="0.25">
      <c r="L716" s="1">
        <f t="shared" ref="L716:L779" si="11">IF(K716="-",-J716,J716)</f>
        <v>0</v>
      </c>
      <c r="N716" s="6" t="str">
        <f>IF(ISERROR(VLOOKUP($A716,'Plano de Contas'!#REF!,8,FALSE)),"",VLOOKUP($A716,'Plano de Contas'!#REF!,8,FALSE))</f>
        <v/>
      </c>
      <c r="P716" s="6" t="str">
        <f>IF(ISERROR(VLOOKUP($A716,'Plano de Contas'!#REF!,10,FALSE)),"",VLOOKUP($A716,'Plano de Contas'!#REF!,10,FALSE))</f>
        <v/>
      </c>
    </row>
    <row r="717" spans="12:16" x14ac:dyDescent="0.25">
      <c r="L717" s="1">
        <f t="shared" si="11"/>
        <v>0</v>
      </c>
      <c r="N717" s="6" t="str">
        <f>IF(ISERROR(VLOOKUP($A717,'Plano de Contas'!#REF!,8,FALSE)),"",VLOOKUP($A717,'Plano de Contas'!#REF!,8,FALSE))</f>
        <v/>
      </c>
      <c r="P717" s="6" t="str">
        <f>IF(ISERROR(VLOOKUP($A717,'Plano de Contas'!#REF!,10,FALSE)),"",VLOOKUP($A717,'Plano de Contas'!#REF!,10,FALSE))</f>
        <v/>
      </c>
    </row>
    <row r="718" spans="12:16" x14ac:dyDescent="0.25">
      <c r="L718" s="1">
        <f t="shared" si="11"/>
        <v>0</v>
      </c>
      <c r="N718" s="6" t="str">
        <f>IF(ISERROR(VLOOKUP($A718,'Plano de Contas'!#REF!,8,FALSE)),"",VLOOKUP($A718,'Plano de Contas'!#REF!,8,FALSE))</f>
        <v/>
      </c>
      <c r="P718" s="6" t="str">
        <f>IF(ISERROR(VLOOKUP($A718,'Plano de Contas'!#REF!,10,FALSE)),"",VLOOKUP($A718,'Plano de Contas'!#REF!,10,FALSE))</f>
        <v/>
      </c>
    </row>
    <row r="719" spans="12:16" x14ac:dyDescent="0.25">
      <c r="L719" s="1">
        <f t="shared" si="11"/>
        <v>0</v>
      </c>
      <c r="N719" s="6" t="str">
        <f>IF(ISERROR(VLOOKUP($A719,'Plano de Contas'!#REF!,8,FALSE)),"",VLOOKUP($A719,'Plano de Contas'!#REF!,8,FALSE))</f>
        <v/>
      </c>
      <c r="P719" s="6" t="str">
        <f>IF(ISERROR(VLOOKUP($A719,'Plano de Contas'!#REF!,10,FALSE)),"",VLOOKUP($A719,'Plano de Contas'!#REF!,10,FALSE))</f>
        <v/>
      </c>
    </row>
    <row r="720" spans="12:16" x14ac:dyDescent="0.25">
      <c r="L720" s="1">
        <f t="shared" si="11"/>
        <v>0</v>
      </c>
      <c r="N720" s="6" t="str">
        <f>IF(ISERROR(VLOOKUP($A720,'Plano de Contas'!#REF!,8,FALSE)),"",VLOOKUP($A720,'Plano de Contas'!#REF!,8,FALSE))</f>
        <v/>
      </c>
      <c r="P720" s="6" t="str">
        <f>IF(ISERROR(VLOOKUP($A720,'Plano de Contas'!#REF!,10,FALSE)),"",VLOOKUP($A720,'Plano de Contas'!#REF!,10,FALSE))</f>
        <v/>
      </c>
    </row>
    <row r="721" spans="12:16" x14ac:dyDescent="0.25">
      <c r="L721" s="1">
        <f t="shared" si="11"/>
        <v>0</v>
      </c>
      <c r="N721" s="6" t="str">
        <f>IF(ISERROR(VLOOKUP($A721,'Plano de Contas'!#REF!,8,FALSE)),"",VLOOKUP($A721,'Plano de Contas'!#REF!,8,FALSE))</f>
        <v/>
      </c>
      <c r="P721" s="6" t="str">
        <f>IF(ISERROR(VLOOKUP($A721,'Plano de Contas'!#REF!,10,FALSE)),"",VLOOKUP($A721,'Plano de Contas'!#REF!,10,FALSE))</f>
        <v/>
      </c>
    </row>
    <row r="722" spans="12:16" x14ac:dyDescent="0.25">
      <c r="L722" s="1">
        <f t="shared" si="11"/>
        <v>0</v>
      </c>
      <c r="N722" s="6" t="str">
        <f>IF(ISERROR(VLOOKUP($A722,'Plano de Contas'!#REF!,8,FALSE)),"",VLOOKUP($A722,'Plano de Contas'!#REF!,8,FALSE))</f>
        <v/>
      </c>
      <c r="P722" s="6" t="str">
        <f>IF(ISERROR(VLOOKUP($A722,'Plano de Contas'!#REF!,10,FALSE)),"",VLOOKUP($A722,'Plano de Contas'!#REF!,10,FALSE))</f>
        <v/>
      </c>
    </row>
    <row r="723" spans="12:16" x14ac:dyDescent="0.25">
      <c r="L723" s="1">
        <f t="shared" si="11"/>
        <v>0</v>
      </c>
      <c r="N723" s="6" t="str">
        <f>IF(ISERROR(VLOOKUP($A723,'Plano de Contas'!#REF!,8,FALSE)),"",VLOOKUP($A723,'Plano de Contas'!#REF!,8,FALSE))</f>
        <v/>
      </c>
      <c r="P723" s="6" t="str">
        <f>IF(ISERROR(VLOOKUP($A723,'Plano de Contas'!#REF!,10,FALSE)),"",VLOOKUP($A723,'Plano de Contas'!#REF!,10,FALSE))</f>
        <v/>
      </c>
    </row>
    <row r="724" spans="12:16" x14ac:dyDescent="0.25">
      <c r="L724" s="1">
        <f t="shared" si="11"/>
        <v>0</v>
      </c>
      <c r="N724" s="6" t="str">
        <f>IF(ISERROR(VLOOKUP($A724,'Plano de Contas'!#REF!,8,FALSE)),"",VLOOKUP($A724,'Plano de Contas'!#REF!,8,FALSE))</f>
        <v/>
      </c>
      <c r="P724" s="6" t="str">
        <f>IF(ISERROR(VLOOKUP($A724,'Plano de Contas'!#REF!,10,FALSE)),"",VLOOKUP($A724,'Plano de Contas'!#REF!,10,FALSE))</f>
        <v/>
      </c>
    </row>
    <row r="725" spans="12:16" x14ac:dyDescent="0.25">
      <c r="L725" s="1">
        <f t="shared" si="11"/>
        <v>0</v>
      </c>
      <c r="N725" s="6" t="str">
        <f>IF(ISERROR(VLOOKUP($A725,'Plano de Contas'!#REF!,8,FALSE)),"",VLOOKUP($A725,'Plano de Contas'!#REF!,8,FALSE))</f>
        <v/>
      </c>
      <c r="P725" s="6" t="str">
        <f>IF(ISERROR(VLOOKUP($A725,'Plano de Contas'!#REF!,10,FALSE)),"",VLOOKUP($A725,'Plano de Contas'!#REF!,10,FALSE))</f>
        <v/>
      </c>
    </row>
    <row r="726" spans="12:16" x14ac:dyDescent="0.25">
      <c r="L726" s="1">
        <f t="shared" si="11"/>
        <v>0</v>
      </c>
      <c r="N726" s="6" t="str">
        <f>IF(ISERROR(VLOOKUP($A726,'Plano de Contas'!#REF!,8,FALSE)),"",VLOOKUP($A726,'Plano de Contas'!#REF!,8,FALSE))</f>
        <v/>
      </c>
      <c r="P726" s="6" t="str">
        <f>IF(ISERROR(VLOOKUP($A726,'Plano de Contas'!#REF!,10,FALSE)),"",VLOOKUP($A726,'Plano de Contas'!#REF!,10,FALSE))</f>
        <v/>
      </c>
    </row>
    <row r="727" spans="12:16" x14ac:dyDescent="0.25">
      <c r="L727" s="1">
        <f t="shared" si="11"/>
        <v>0</v>
      </c>
      <c r="N727" s="6" t="str">
        <f>IF(ISERROR(VLOOKUP($A727,'Plano de Contas'!#REF!,8,FALSE)),"",VLOOKUP($A727,'Plano de Contas'!#REF!,8,FALSE))</f>
        <v/>
      </c>
      <c r="P727" s="6" t="str">
        <f>IF(ISERROR(VLOOKUP($A727,'Plano de Contas'!#REF!,10,FALSE)),"",VLOOKUP($A727,'Plano de Contas'!#REF!,10,FALSE))</f>
        <v/>
      </c>
    </row>
    <row r="728" spans="12:16" x14ac:dyDescent="0.25">
      <c r="L728" s="1">
        <f t="shared" si="11"/>
        <v>0</v>
      </c>
      <c r="N728" s="6" t="str">
        <f>IF(ISERROR(VLOOKUP($A728,'Plano de Contas'!#REF!,8,FALSE)),"",VLOOKUP($A728,'Plano de Contas'!#REF!,8,FALSE))</f>
        <v/>
      </c>
      <c r="P728" s="6" t="str">
        <f>IF(ISERROR(VLOOKUP($A728,'Plano de Contas'!#REF!,10,FALSE)),"",VLOOKUP($A728,'Plano de Contas'!#REF!,10,FALSE))</f>
        <v/>
      </c>
    </row>
    <row r="729" spans="12:16" x14ac:dyDescent="0.25">
      <c r="L729" s="1">
        <f t="shared" si="11"/>
        <v>0</v>
      </c>
      <c r="N729" s="6" t="str">
        <f>IF(ISERROR(VLOOKUP($A729,'Plano de Contas'!#REF!,8,FALSE)),"",VLOOKUP($A729,'Plano de Contas'!#REF!,8,FALSE))</f>
        <v/>
      </c>
      <c r="P729" s="6" t="str">
        <f>IF(ISERROR(VLOOKUP($A729,'Plano de Contas'!#REF!,10,FALSE)),"",VLOOKUP($A729,'Plano de Contas'!#REF!,10,FALSE))</f>
        <v/>
      </c>
    </row>
    <row r="730" spans="12:16" x14ac:dyDescent="0.25">
      <c r="L730" s="1">
        <f t="shared" si="11"/>
        <v>0</v>
      </c>
      <c r="N730" s="6" t="str">
        <f>IF(ISERROR(VLOOKUP($A730,'Plano de Contas'!#REF!,8,FALSE)),"",VLOOKUP($A730,'Plano de Contas'!#REF!,8,FALSE))</f>
        <v/>
      </c>
      <c r="P730" s="6" t="str">
        <f>IF(ISERROR(VLOOKUP($A730,'Plano de Contas'!#REF!,10,FALSE)),"",VLOOKUP($A730,'Plano de Contas'!#REF!,10,FALSE))</f>
        <v/>
      </c>
    </row>
    <row r="731" spans="12:16" x14ac:dyDescent="0.25">
      <c r="L731" s="1">
        <f t="shared" si="11"/>
        <v>0</v>
      </c>
      <c r="N731" s="6" t="str">
        <f>IF(ISERROR(VLOOKUP($A731,'Plano de Contas'!#REF!,8,FALSE)),"",VLOOKUP($A731,'Plano de Contas'!#REF!,8,FALSE))</f>
        <v/>
      </c>
      <c r="P731" s="6" t="str">
        <f>IF(ISERROR(VLOOKUP($A731,'Plano de Contas'!#REF!,10,FALSE)),"",VLOOKUP($A731,'Plano de Contas'!#REF!,10,FALSE))</f>
        <v/>
      </c>
    </row>
    <row r="732" spans="12:16" x14ac:dyDescent="0.25">
      <c r="L732" s="1">
        <f t="shared" si="11"/>
        <v>0</v>
      </c>
      <c r="N732" s="6" t="str">
        <f>IF(ISERROR(VLOOKUP($A732,'Plano de Contas'!#REF!,8,FALSE)),"",VLOOKUP($A732,'Plano de Contas'!#REF!,8,FALSE))</f>
        <v/>
      </c>
      <c r="P732" s="6" t="str">
        <f>IF(ISERROR(VLOOKUP($A732,'Plano de Contas'!#REF!,10,FALSE)),"",VLOOKUP($A732,'Plano de Contas'!#REF!,10,FALSE))</f>
        <v/>
      </c>
    </row>
    <row r="733" spans="12:16" x14ac:dyDescent="0.25">
      <c r="L733" s="1">
        <f t="shared" si="11"/>
        <v>0</v>
      </c>
      <c r="N733" s="6" t="str">
        <f>IF(ISERROR(VLOOKUP($A733,'Plano de Contas'!#REF!,8,FALSE)),"",VLOOKUP($A733,'Plano de Contas'!#REF!,8,FALSE))</f>
        <v/>
      </c>
      <c r="P733" s="6" t="str">
        <f>IF(ISERROR(VLOOKUP($A733,'Plano de Contas'!#REF!,10,FALSE)),"",VLOOKUP($A733,'Plano de Contas'!#REF!,10,FALSE))</f>
        <v/>
      </c>
    </row>
    <row r="734" spans="12:16" x14ac:dyDescent="0.25">
      <c r="L734" s="1">
        <f t="shared" si="11"/>
        <v>0</v>
      </c>
      <c r="N734" s="6" t="str">
        <f>IF(ISERROR(VLOOKUP($A734,'Plano de Contas'!#REF!,8,FALSE)),"",VLOOKUP($A734,'Plano de Contas'!#REF!,8,FALSE))</f>
        <v/>
      </c>
      <c r="P734" s="6" t="str">
        <f>IF(ISERROR(VLOOKUP($A734,'Plano de Contas'!#REF!,10,FALSE)),"",VLOOKUP($A734,'Plano de Contas'!#REF!,10,FALSE))</f>
        <v/>
      </c>
    </row>
    <row r="735" spans="12:16" x14ac:dyDescent="0.25">
      <c r="L735" s="1">
        <f t="shared" si="11"/>
        <v>0</v>
      </c>
      <c r="N735" s="6" t="str">
        <f>IF(ISERROR(VLOOKUP($A735,'Plano de Contas'!#REF!,8,FALSE)),"",VLOOKUP($A735,'Plano de Contas'!#REF!,8,FALSE))</f>
        <v/>
      </c>
      <c r="P735" s="6" t="str">
        <f>IF(ISERROR(VLOOKUP($A735,'Plano de Contas'!#REF!,10,FALSE)),"",VLOOKUP($A735,'Plano de Contas'!#REF!,10,FALSE))</f>
        <v/>
      </c>
    </row>
    <row r="736" spans="12:16" x14ac:dyDescent="0.25">
      <c r="L736" s="1">
        <f t="shared" si="11"/>
        <v>0</v>
      </c>
      <c r="N736" s="6" t="str">
        <f>IF(ISERROR(VLOOKUP($A736,'Plano de Contas'!#REF!,8,FALSE)),"",VLOOKUP($A736,'Plano de Contas'!#REF!,8,FALSE))</f>
        <v/>
      </c>
      <c r="P736" s="6" t="str">
        <f>IF(ISERROR(VLOOKUP($A736,'Plano de Contas'!#REF!,10,FALSE)),"",VLOOKUP($A736,'Plano de Contas'!#REF!,10,FALSE))</f>
        <v/>
      </c>
    </row>
    <row r="737" spans="12:16" x14ac:dyDescent="0.25">
      <c r="L737" s="1">
        <f t="shared" si="11"/>
        <v>0</v>
      </c>
      <c r="N737" s="6" t="str">
        <f>IF(ISERROR(VLOOKUP($A737,'Plano de Contas'!#REF!,8,FALSE)),"",VLOOKUP($A737,'Plano de Contas'!#REF!,8,FALSE))</f>
        <v/>
      </c>
      <c r="P737" s="6" t="str">
        <f>IF(ISERROR(VLOOKUP($A737,'Plano de Contas'!#REF!,10,FALSE)),"",VLOOKUP($A737,'Plano de Contas'!#REF!,10,FALSE))</f>
        <v/>
      </c>
    </row>
    <row r="738" spans="12:16" x14ac:dyDescent="0.25">
      <c r="L738" s="1">
        <f t="shared" si="11"/>
        <v>0</v>
      </c>
      <c r="N738" s="6" t="str">
        <f>IF(ISERROR(VLOOKUP($A738,'Plano de Contas'!#REF!,8,FALSE)),"",VLOOKUP($A738,'Plano de Contas'!#REF!,8,FALSE))</f>
        <v/>
      </c>
      <c r="P738" s="6" t="str">
        <f>IF(ISERROR(VLOOKUP($A738,'Plano de Contas'!#REF!,10,FALSE)),"",VLOOKUP($A738,'Plano de Contas'!#REF!,10,FALSE))</f>
        <v/>
      </c>
    </row>
    <row r="739" spans="12:16" x14ac:dyDescent="0.25">
      <c r="L739" s="1">
        <f t="shared" si="11"/>
        <v>0</v>
      </c>
      <c r="N739" s="6" t="str">
        <f>IF(ISERROR(VLOOKUP($A739,'Plano de Contas'!#REF!,8,FALSE)),"",VLOOKUP($A739,'Plano de Contas'!#REF!,8,FALSE))</f>
        <v/>
      </c>
      <c r="P739" s="6" t="str">
        <f>IF(ISERROR(VLOOKUP($A739,'Plano de Contas'!#REF!,10,FALSE)),"",VLOOKUP($A739,'Plano de Contas'!#REF!,10,FALSE))</f>
        <v/>
      </c>
    </row>
    <row r="740" spans="12:16" x14ac:dyDescent="0.25">
      <c r="L740" s="1">
        <f t="shared" si="11"/>
        <v>0</v>
      </c>
      <c r="N740" s="6" t="str">
        <f>IF(ISERROR(VLOOKUP($A740,'Plano de Contas'!#REF!,8,FALSE)),"",VLOOKUP($A740,'Plano de Contas'!#REF!,8,FALSE))</f>
        <v/>
      </c>
      <c r="P740" s="6" t="str">
        <f>IF(ISERROR(VLOOKUP($A740,'Plano de Contas'!#REF!,10,FALSE)),"",VLOOKUP($A740,'Plano de Contas'!#REF!,10,FALSE))</f>
        <v/>
      </c>
    </row>
    <row r="741" spans="12:16" x14ac:dyDescent="0.25">
      <c r="L741" s="1">
        <f t="shared" si="11"/>
        <v>0</v>
      </c>
      <c r="N741" s="6" t="str">
        <f>IF(ISERROR(VLOOKUP($A741,'Plano de Contas'!#REF!,8,FALSE)),"",VLOOKUP($A741,'Plano de Contas'!#REF!,8,FALSE))</f>
        <v/>
      </c>
      <c r="P741" s="6" t="str">
        <f>IF(ISERROR(VLOOKUP($A741,'Plano de Contas'!#REF!,10,FALSE)),"",VLOOKUP($A741,'Plano de Contas'!#REF!,10,FALSE))</f>
        <v/>
      </c>
    </row>
    <row r="742" spans="12:16" x14ac:dyDescent="0.25">
      <c r="L742" s="1">
        <f t="shared" si="11"/>
        <v>0</v>
      </c>
      <c r="N742" s="6" t="str">
        <f>IF(ISERROR(VLOOKUP($A742,'Plano de Contas'!#REF!,8,FALSE)),"",VLOOKUP($A742,'Plano de Contas'!#REF!,8,FALSE))</f>
        <v/>
      </c>
      <c r="P742" s="6" t="str">
        <f>IF(ISERROR(VLOOKUP($A742,'Plano de Contas'!#REF!,10,FALSE)),"",VLOOKUP($A742,'Plano de Contas'!#REF!,10,FALSE))</f>
        <v/>
      </c>
    </row>
    <row r="743" spans="12:16" x14ac:dyDescent="0.25">
      <c r="L743" s="1">
        <f t="shared" si="11"/>
        <v>0</v>
      </c>
      <c r="N743" s="6" t="str">
        <f>IF(ISERROR(VLOOKUP($A743,'Plano de Contas'!#REF!,8,FALSE)),"",VLOOKUP($A743,'Plano de Contas'!#REF!,8,FALSE))</f>
        <v/>
      </c>
      <c r="P743" s="6" t="str">
        <f>IF(ISERROR(VLOOKUP($A743,'Plano de Contas'!#REF!,10,FALSE)),"",VLOOKUP($A743,'Plano de Contas'!#REF!,10,FALSE))</f>
        <v/>
      </c>
    </row>
    <row r="744" spans="12:16" x14ac:dyDescent="0.25">
      <c r="L744" s="1">
        <f t="shared" si="11"/>
        <v>0</v>
      </c>
      <c r="N744" s="6" t="str">
        <f>IF(ISERROR(VLOOKUP($A744,'Plano de Contas'!#REF!,8,FALSE)),"",VLOOKUP($A744,'Plano de Contas'!#REF!,8,FALSE))</f>
        <v/>
      </c>
      <c r="P744" s="6" t="str">
        <f>IF(ISERROR(VLOOKUP($A744,'Plano de Contas'!#REF!,10,FALSE)),"",VLOOKUP($A744,'Plano de Contas'!#REF!,10,FALSE))</f>
        <v/>
      </c>
    </row>
    <row r="745" spans="12:16" x14ac:dyDescent="0.25">
      <c r="L745" s="1">
        <f t="shared" si="11"/>
        <v>0</v>
      </c>
      <c r="N745" s="6" t="str">
        <f>IF(ISERROR(VLOOKUP($A745,'Plano de Contas'!#REF!,8,FALSE)),"",VLOOKUP($A745,'Plano de Contas'!#REF!,8,FALSE))</f>
        <v/>
      </c>
      <c r="P745" s="6" t="str">
        <f>IF(ISERROR(VLOOKUP($A745,'Plano de Contas'!#REF!,10,FALSE)),"",VLOOKUP($A745,'Plano de Contas'!#REF!,10,FALSE))</f>
        <v/>
      </c>
    </row>
    <row r="746" spans="12:16" x14ac:dyDescent="0.25">
      <c r="L746" s="1">
        <f t="shared" si="11"/>
        <v>0</v>
      </c>
      <c r="N746" s="6" t="str">
        <f>IF(ISERROR(VLOOKUP($A746,'Plano de Contas'!#REF!,8,FALSE)),"",VLOOKUP($A746,'Plano de Contas'!#REF!,8,FALSE))</f>
        <v/>
      </c>
      <c r="P746" s="6" t="str">
        <f>IF(ISERROR(VLOOKUP($A746,'Plano de Contas'!#REF!,10,FALSE)),"",VLOOKUP($A746,'Plano de Contas'!#REF!,10,FALSE))</f>
        <v/>
      </c>
    </row>
    <row r="747" spans="12:16" x14ac:dyDescent="0.25">
      <c r="L747" s="1">
        <f t="shared" si="11"/>
        <v>0</v>
      </c>
      <c r="N747" s="6" t="str">
        <f>IF(ISERROR(VLOOKUP($A747,'Plano de Contas'!#REF!,8,FALSE)),"",VLOOKUP($A747,'Plano de Contas'!#REF!,8,FALSE))</f>
        <v/>
      </c>
      <c r="P747" s="6" t="str">
        <f>IF(ISERROR(VLOOKUP($A747,'Plano de Contas'!#REF!,10,FALSE)),"",VLOOKUP($A747,'Plano de Contas'!#REF!,10,FALSE))</f>
        <v/>
      </c>
    </row>
    <row r="748" spans="12:16" x14ac:dyDescent="0.25">
      <c r="L748" s="1">
        <f t="shared" si="11"/>
        <v>0</v>
      </c>
      <c r="N748" s="6" t="str">
        <f>IF(ISERROR(VLOOKUP($A748,'Plano de Contas'!#REF!,8,FALSE)),"",VLOOKUP($A748,'Plano de Contas'!#REF!,8,FALSE))</f>
        <v/>
      </c>
      <c r="P748" s="6" t="str">
        <f>IF(ISERROR(VLOOKUP($A748,'Plano de Contas'!#REF!,10,FALSE)),"",VLOOKUP($A748,'Plano de Contas'!#REF!,10,FALSE))</f>
        <v/>
      </c>
    </row>
    <row r="749" spans="12:16" x14ac:dyDescent="0.25">
      <c r="L749" s="1">
        <f t="shared" si="11"/>
        <v>0</v>
      </c>
      <c r="N749" s="6" t="str">
        <f>IF(ISERROR(VLOOKUP($A749,'Plano de Contas'!#REF!,8,FALSE)),"",VLOOKUP($A749,'Plano de Contas'!#REF!,8,FALSE))</f>
        <v/>
      </c>
      <c r="P749" s="6" t="str">
        <f>IF(ISERROR(VLOOKUP($A749,'Plano de Contas'!#REF!,10,FALSE)),"",VLOOKUP($A749,'Plano de Contas'!#REF!,10,FALSE))</f>
        <v/>
      </c>
    </row>
    <row r="750" spans="12:16" x14ac:dyDescent="0.25">
      <c r="L750" s="1">
        <f t="shared" si="11"/>
        <v>0</v>
      </c>
      <c r="N750" s="6" t="str">
        <f>IF(ISERROR(VLOOKUP($A750,'Plano de Contas'!#REF!,8,FALSE)),"",VLOOKUP($A750,'Plano de Contas'!#REF!,8,FALSE))</f>
        <v/>
      </c>
      <c r="P750" s="6" t="str">
        <f>IF(ISERROR(VLOOKUP($A750,'Plano de Contas'!#REF!,10,FALSE)),"",VLOOKUP($A750,'Plano de Contas'!#REF!,10,FALSE))</f>
        <v/>
      </c>
    </row>
    <row r="751" spans="12:16" x14ac:dyDescent="0.25">
      <c r="L751" s="1">
        <f t="shared" si="11"/>
        <v>0</v>
      </c>
      <c r="N751" s="6" t="str">
        <f>IF(ISERROR(VLOOKUP($A751,'Plano de Contas'!#REF!,8,FALSE)),"",VLOOKUP($A751,'Plano de Contas'!#REF!,8,FALSE))</f>
        <v/>
      </c>
      <c r="P751" s="6" t="str">
        <f>IF(ISERROR(VLOOKUP($A751,'Plano de Contas'!#REF!,10,FALSE)),"",VLOOKUP($A751,'Plano de Contas'!#REF!,10,FALSE))</f>
        <v/>
      </c>
    </row>
    <row r="752" spans="12:16" x14ac:dyDescent="0.25">
      <c r="L752" s="1">
        <f t="shared" si="11"/>
        <v>0</v>
      </c>
      <c r="N752" s="6" t="str">
        <f>IF(ISERROR(VLOOKUP($A752,'Plano de Contas'!#REF!,8,FALSE)),"",VLOOKUP($A752,'Plano de Contas'!#REF!,8,FALSE))</f>
        <v/>
      </c>
      <c r="P752" s="6" t="str">
        <f>IF(ISERROR(VLOOKUP($A752,'Plano de Contas'!#REF!,10,FALSE)),"",VLOOKUP($A752,'Plano de Contas'!#REF!,10,FALSE))</f>
        <v/>
      </c>
    </row>
    <row r="753" spans="12:16" x14ac:dyDescent="0.25">
      <c r="L753" s="1">
        <f t="shared" si="11"/>
        <v>0</v>
      </c>
      <c r="N753" s="6" t="str">
        <f>IF(ISERROR(VLOOKUP($A753,'Plano de Contas'!#REF!,8,FALSE)),"",VLOOKUP($A753,'Plano de Contas'!#REF!,8,FALSE))</f>
        <v/>
      </c>
      <c r="P753" s="6" t="str">
        <f>IF(ISERROR(VLOOKUP($A753,'Plano de Contas'!#REF!,10,FALSE)),"",VLOOKUP($A753,'Plano de Contas'!#REF!,10,FALSE))</f>
        <v/>
      </c>
    </row>
    <row r="754" spans="12:16" x14ac:dyDescent="0.25">
      <c r="L754" s="1">
        <f t="shared" si="11"/>
        <v>0</v>
      </c>
      <c r="N754" s="6" t="str">
        <f>IF(ISERROR(VLOOKUP($A754,'Plano de Contas'!#REF!,8,FALSE)),"",VLOOKUP($A754,'Plano de Contas'!#REF!,8,FALSE))</f>
        <v/>
      </c>
      <c r="P754" s="6" t="str">
        <f>IF(ISERROR(VLOOKUP($A754,'Plano de Contas'!#REF!,10,FALSE)),"",VLOOKUP($A754,'Plano de Contas'!#REF!,10,FALSE))</f>
        <v/>
      </c>
    </row>
    <row r="755" spans="12:16" x14ac:dyDescent="0.25">
      <c r="L755" s="1">
        <f t="shared" si="11"/>
        <v>0</v>
      </c>
      <c r="N755" s="6" t="str">
        <f>IF(ISERROR(VLOOKUP($A755,'Plano de Contas'!#REF!,8,FALSE)),"",VLOOKUP($A755,'Plano de Contas'!#REF!,8,FALSE))</f>
        <v/>
      </c>
      <c r="P755" s="6" t="str">
        <f>IF(ISERROR(VLOOKUP($A755,'Plano de Contas'!#REF!,10,FALSE)),"",VLOOKUP($A755,'Plano de Contas'!#REF!,10,FALSE))</f>
        <v/>
      </c>
    </row>
    <row r="756" spans="12:16" x14ac:dyDescent="0.25">
      <c r="L756" s="1">
        <f t="shared" si="11"/>
        <v>0</v>
      </c>
      <c r="N756" s="6" t="str">
        <f>IF(ISERROR(VLOOKUP($A756,'Plano de Contas'!#REF!,8,FALSE)),"",VLOOKUP($A756,'Plano de Contas'!#REF!,8,FALSE))</f>
        <v/>
      </c>
      <c r="P756" s="6" t="str">
        <f>IF(ISERROR(VLOOKUP($A756,'Plano de Contas'!#REF!,10,FALSE)),"",VLOOKUP($A756,'Plano de Contas'!#REF!,10,FALSE))</f>
        <v/>
      </c>
    </row>
    <row r="757" spans="12:16" x14ac:dyDescent="0.25">
      <c r="L757" s="1">
        <f t="shared" si="11"/>
        <v>0</v>
      </c>
      <c r="N757" s="6" t="str">
        <f>IF(ISERROR(VLOOKUP($A757,'Plano de Contas'!#REF!,8,FALSE)),"",VLOOKUP($A757,'Plano de Contas'!#REF!,8,FALSE))</f>
        <v/>
      </c>
      <c r="P757" s="6" t="str">
        <f>IF(ISERROR(VLOOKUP($A757,'Plano de Contas'!#REF!,10,FALSE)),"",VLOOKUP($A757,'Plano de Contas'!#REF!,10,FALSE))</f>
        <v/>
      </c>
    </row>
    <row r="758" spans="12:16" x14ac:dyDescent="0.25">
      <c r="L758" s="1">
        <f t="shared" si="11"/>
        <v>0</v>
      </c>
      <c r="N758" s="6" t="str">
        <f>IF(ISERROR(VLOOKUP($A758,'Plano de Contas'!#REF!,8,FALSE)),"",VLOOKUP($A758,'Plano de Contas'!#REF!,8,FALSE))</f>
        <v/>
      </c>
      <c r="P758" s="6" t="str">
        <f>IF(ISERROR(VLOOKUP($A758,'Plano de Contas'!#REF!,10,FALSE)),"",VLOOKUP($A758,'Plano de Contas'!#REF!,10,FALSE))</f>
        <v/>
      </c>
    </row>
    <row r="759" spans="12:16" x14ac:dyDescent="0.25">
      <c r="L759" s="1">
        <f t="shared" si="11"/>
        <v>0</v>
      </c>
      <c r="N759" s="6" t="str">
        <f>IF(ISERROR(VLOOKUP($A759,'Plano de Contas'!#REF!,8,FALSE)),"",VLOOKUP($A759,'Plano de Contas'!#REF!,8,FALSE))</f>
        <v/>
      </c>
      <c r="P759" s="6" t="str">
        <f>IF(ISERROR(VLOOKUP($A759,'Plano de Contas'!#REF!,10,FALSE)),"",VLOOKUP($A759,'Plano de Contas'!#REF!,10,FALSE))</f>
        <v/>
      </c>
    </row>
    <row r="760" spans="12:16" x14ac:dyDescent="0.25">
      <c r="L760" s="1">
        <f t="shared" si="11"/>
        <v>0</v>
      </c>
      <c r="N760" s="6" t="str">
        <f>IF(ISERROR(VLOOKUP($A760,'Plano de Contas'!#REF!,8,FALSE)),"",VLOOKUP($A760,'Plano de Contas'!#REF!,8,FALSE))</f>
        <v/>
      </c>
      <c r="P760" s="6" t="str">
        <f>IF(ISERROR(VLOOKUP($A760,'Plano de Contas'!#REF!,10,FALSE)),"",VLOOKUP($A760,'Plano de Contas'!#REF!,10,FALSE))</f>
        <v/>
      </c>
    </row>
    <row r="761" spans="12:16" x14ac:dyDescent="0.25">
      <c r="L761" s="1">
        <f t="shared" si="11"/>
        <v>0</v>
      </c>
      <c r="N761" s="6" t="str">
        <f>IF(ISERROR(VLOOKUP($A761,'Plano de Contas'!#REF!,8,FALSE)),"",VLOOKUP($A761,'Plano de Contas'!#REF!,8,FALSE))</f>
        <v/>
      </c>
      <c r="P761" s="6" t="str">
        <f>IF(ISERROR(VLOOKUP($A761,'Plano de Contas'!#REF!,10,FALSE)),"",VLOOKUP($A761,'Plano de Contas'!#REF!,10,FALSE))</f>
        <v/>
      </c>
    </row>
    <row r="762" spans="12:16" x14ac:dyDescent="0.25">
      <c r="L762" s="1">
        <f t="shared" si="11"/>
        <v>0</v>
      </c>
      <c r="N762" s="6" t="str">
        <f>IF(ISERROR(VLOOKUP($A762,'Plano de Contas'!#REF!,8,FALSE)),"",VLOOKUP($A762,'Plano de Contas'!#REF!,8,FALSE))</f>
        <v/>
      </c>
      <c r="P762" s="6" t="str">
        <f>IF(ISERROR(VLOOKUP($A762,'Plano de Contas'!#REF!,10,FALSE)),"",VLOOKUP($A762,'Plano de Contas'!#REF!,10,FALSE))</f>
        <v/>
      </c>
    </row>
    <row r="763" spans="12:16" x14ac:dyDescent="0.25">
      <c r="L763" s="1">
        <f t="shared" si="11"/>
        <v>0</v>
      </c>
      <c r="N763" s="6" t="str">
        <f>IF(ISERROR(VLOOKUP($A763,'Plano de Contas'!#REF!,8,FALSE)),"",VLOOKUP($A763,'Plano de Contas'!#REF!,8,FALSE))</f>
        <v/>
      </c>
      <c r="P763" s="6" t="str">
        <f>IF(ISERROR(VLOOKUP($A763,'Plano de Contas'!#REF!,10,FALSE)),"",VLOOKUP($A763,'Plano de Contas'!#REF!,10,FALSE))</f>
        <v/>
      </c>
    </row>
    <row r="764" spans="12:16" x14ac:dyDescent="0.25">
      <c r="L764" s="1">
        <f t="shared" si="11"/>
        <v>0</v>
      </c>
      <c r="N764" s="6" t="str">
        <f>IF(ISERROR(VLOOKUP($A764,'Plano de Contas'!#REF!,8,FALSE)),"",VLOOKUP($A764,'Plano de Contas'!#REF!,8,FALSE))</f>
        <v/>
      </c>
      <c r="P764" s="6" t="str">
        <f>IF(ISERROR(VLOOKUP($A764,'Plano de Contas'!#REF!,10,FALSE)),"",VLOOKUP($A764,'Plano de Contas'!#REF!,10,FALSE))</f>
        <v/>
      </c>
    </row>
    <row r="765" spans="12:16" x14ac:dyDescent="0.25">
      <c r="L765" s="1">
        <f t="shared" si="11"/>
        <v>0</v>
      </c>
      <c r="N765" s="6" t="str">
        <f>IF(ISERROR(VLOOKUP($A765,'Plano de Contas'!#REF!,8,FALSE)),"",VLOOKUP($A765,'Plano de Contas'!#REF!,8,FALSE))</f>
        <v/>
      </c>
      <c r="P765" s="6" t="str">
        <f>IF(ISERROR(VLOOKUP($A765,'Plano de Contas'!#REF!,10,FALSE)),"",VLOOKUP($A765,'Plano de Contas'!#REF!,10,FALSE))</f>
        <v/>
      </c>
    </row>
    <row r="766" spans="12:16" x14ac:dyDescent="0.25">
      <c r="L766" s="1">
        <f t="shared" si="11"/>
        <v>0</v>
      </c>
      <c r="N766" s="6" t="str">
        <f>IF(ISERROR(VLOOKUP($A766,'Plano de Contas'!#REF!,8,FALSE)),"",VLOOKUP($A766,'Plano de Contas'!#REF!,8,FALSE))</f>
        <v/>
      </c>
      <c r="P766" s="6" t="str">
        <f>IF(ISERROR(VLOOKUP($A766,'Plano de Contas'!#REF!,10,FALSE)),"",VLOOKUP($A766,'Plano de Contas'!#REF!,10,FALSE))</f>
        <v/>
      </c>
    </row>
    <row r="767" spans="12:16" x14ac:dyDescent="0.25">
      <c r="L767" s="1">
        <f t="shared" si="11"/>
        <v>0</v>
      </c>
      <c r="N767" s="6" t="str">
        <f>IF(ISERROR(VLOOKUP($A767,'Plano de Contas'!#REF!,8,FALSE)),"",VLOOKUP($A767,'Plano de Contas'!#REF!,8,FALSE))</f>
        <v/>
      </c>
      <c r="P767" s="6" t="str">
        <f>IF(ISERROR(VLOOKUP($A767,'Plano de Contas'!#REF!,10,FALSE)),"",VLOOKUP($A767,'Plano de Contas'!#REF!,10,FALSE))</f>
        <v/>
      </c>
    </row>
    <row r="768" spans="12:16" x14ac:dyDescent="0.25">
      <c r="L768" s="1">
        <f t="shared" si="11"/>
        <v>0</v>
      </c>
      <c r="N768" s="6" t="str">
        <f>IF(ISERROR(VLOOKUP($A768,'Plano de Contas'!#REF!,8,FALSE)),"",VLOOKUP($A768,'Plano de Contas'!#REF!,8,FALSE))</f>
        <v/>
      </c>
      <c r="P768" s="6" t="str">
        <f>IF(ISERROR(VLOOKUP($A768,'Plano de Contas'!#REF!,10,FALSE)),"",VLOOKUP($A768,'Plano de Contas'!#REF!,10,FALSE))</f>
        <v/>
      </c>
    </row>
    <row r="769" spans="12:16" x14ac:dyDescent="0.25">
      <c r="L769" s="1">
        <f t="shared" si="11"/>
        <v>0</v>
      </c>
      <c r="N769" s="6" t="str">
        <f>IF(ISERROR(VLOOKUP($A769,'Plano de Contas'!#REF!,8,FALSE)),"",VLOOKUP($A769,'Plano de Contas'!#REF!,8,FALSE))</f>
        <v/>
      </c>
      <c r="P769" s="6" t="str">
        <f>IF(ISERROR(VLOOKUP($A769,'Plano de Contas'!#REF!,10,FALSE)),"",VLOOKUP($A769,'Plano de Contas'!#REF!,10,FALSE))</f>
        <v/>
      </c>
    </row>
    <row r="770" spans="12:16" x14ac:dyDescent="0.25">
      <c r="L770" s="1">
        <f t="shared" si="11"/>
        <v>0</v>
      </c>
      <c r="N770" s="6" t="str">
        <f>IF(ISERROR(VLOOKUP($A770,'Plano de Contas'!#REF!,8,FALSE)),"",VLOOKUP($A770,'Plano de Contas'!#REF!,8,FALSE))</f>
        <v/>
      </c>
      <c r="P770" s="6" t="str">
        <f>IF(ISERROR(VLOOKUP($A770,'Plano de Contas'!#REF!,10,FALSE)),"",VLOOKUP($A770,'Plano de Contas'!#REF!,10,FALSE))</f>
        <v/>
      </c>
    </row>
    <row r="771" spans="12:16" x14ac:dyDescent="0.25">
      <c r="L771" s="1">
        <f t="shared" si="11"/>
        <v>0</v>
      </c>
      <c r="N771" s="6" t="str">
        <f>IF(ISERROR(VLOOKUP($A771,'Plano de Contas'!#REF!,8,FALSE)),"",VLOOKUP($A771,'Plano de Contas'!#REF!,8,FALSE))</f>
        <v/>
      </c>
      <c r="P771" s="6" t="str">
        <f>IF(ISERROR(VLOOKUP($A771,'Plano de Contas'!#REF!,10,FALSE)),"",VLOOKUP($A771,'Plano de Contas'!#REF!,10,FALSE))</f>
        <v/>
      </c>
    </row>
    <row r="772" spans="12:16" x14ac:dyDescent="0.25">
      <c r="L772" s="1">
        <f t="shared" si="11"/>
        <v>0</v>
      </c>
      <c r="N772" s="6" t="str">
        <f>IF(ISERROR(VLOOKUP($A772,'Plano de Contas'!#REF!,8,FALSE)),"",VLOOKUP($A772,'Plano de Contas'!#REF!,8,FALSE))</f>
        <v/>
      </c>
      <c r="P772" s="6" t="str">
        <f>IF(ISERROR(VLOOKUP($A772,'Plano de Contas'!#REF!,10,FALSE)),"",VLOOKUP($A772,'Plano de Contas'!#REF!,10,FALSE))</f>
        <v/>
      </c>
    </row>
    <row r="773" spans="12:16" x14ac:dyDescent="0.25">
      <c r="L773" s="1">
        <f t="shared" si="11"/>
        <v>0</v>
      </c>
      <c r="N773" s="6" t="str">
        <f>IF(ISERROR(VLOOKUP($A773,'Plano de Contas'!#REF!,8,FALSE)),"",VLOOKUP($A773,'Plano de Contas'!#REF!,8,FALSE))</f>
        <v/>
      </c>
      <c r="P773" s="6" t="str">
        <f>IF(ISERROR(VLOOKUP($A773,'Plano de Contas'!#REF!,10,FALSE)),"",VLOOKUP($A773,'Plano de Contas'!#REF!,10,FALSE))</f>
        <v/>
      </c>
    </row>
    <row r="774" spans="12:16" x14ac:dyDescent="0.25">
      <c r="L774" s="1">
        <f t="shared" si="11"/>
        <v>0</v>
      </c>
      <c r="N774" s="6" t="str">
        <f>IF(ISERROR(VLOOKUP($A774,'Plano de Contas'!#REF!,8,FALSE)),"",VLOOKUP($A774,'Plano de Contas'!#REF!,8,FALSE))</f>
        <v/>
      </c>
      <c r="P774" s="6" t="str">
        <f>IF(ISERROR(VLOOKUP($A774,'Plano de Contas'!#REF!,10,FALSE)),"",VLOOKUP($A774,'Plano de Contas'!#REF!,10,FALSE))</f>
        <v/>
      </c>
    </row>
    <row r="775" spans="12:16" x14ac:dyDescent="0.25">
      <c r="L775" s="1">
        <f t="shared" si="11"/>
        <v>0</v>
      </c>
      <c r="N775" s="6" t="str">
        <f>IF(ISERROR(VLOOKUP($A775,'Plano de Contas'!#REF!,8,FALSE)),"",VLOOKUP($A775,'Plano de Contas'!#REF!,8,FALSE))</f>
        <v/>
      </c>
      <c r="P775" s="6" t="str">
        <f>IF(ISERROR(VLOOKUP($A775,'Plano de Contas'!#REF!,10,FALSE)),"",VLOOKUP($A775,'Plano de Contas'!#REF!,10,FALSE))</f>
        <v/>
      </c>
    </row>
    <row r="776" spans="12:16" x14ac:dyDescent="0.25">
      <c r="L776" s="1">
        <f t="shared" si="11"/>
        <v>0</v>
      </c>
      <c r="N776" s="6" t="str">
        <f>IF(ISERROR(VLOOKUP($A776,'Plano de Contas'!#REF!,8,FALSE)),"",VLOOKUP($A776,'Plano de Contas'!#REF!,8,FALSE))</f>
        <v/>
      </c>
      <c r="P776" s="6" t="str">
        <f>IF(ISERROR(VLOOKUP($A776,'Plano de Contas'!#REF!,10,FALSE)),"",VLOOKUP($A776,'Plano de Contas'!#REF!,10,FALSE))</f>
        <v/>
      </c>
    </row>
    <row r="777" spans="12:16" x14ac:dyDescent="0.25">
      <c r="L777" s="1">
        <f t="shared" si="11"/>
        <v>0</v>
      </c>
      <c r="N777" s="6" t="str">
        <f>IF(ISERROR(VLOOKUP($A777,'Plano de Contas'!#REF!,8,FALSE)),"",VLOOKUP($A777,'Plano de Contas'!#REF!,8,FALSE))</f>
        <v/>
      </c>
      <c r="P777" s="6" t="str">
        <f>IF(ISERROR(VLOOKUP($A777,'Plano de Contas'!#REF!,10,FALSE)),"",VLOOKUP($A777,'Plano de Contas'!#REF!,10,FALSE))</f>
        <v/>
      </c>
    </row>
    <row r="778" spans="12:16" x14ac:dyDescent="0.25">
      <c r="L778" s="1">
        <f t="shared" si="11"/>
        <v>0</v>
      </c>
      <c r="N778" s="6" t="str">
        <f>IF(ISERROR(VLOOKUP($A778,'Plano de Contas'!#REF!,8,FALSE)),"",VLOOKUP($A778,'Plano de Contas'!#REF!,8,FALSE))</f>
        <v/>
      </c>
      <c r="P778" s="6" t="str">
        <f>IF(ISERROR(VLOOKUP($A778,'Plano de Contas'!#REF!,10,FALSE)),"",VLOOKUP($A778,'Plano de Contas'!#REF!,10,FALSE))</f>
        <v/>
      </c>
    </row>
    <row r="779" spans="12:16" x14ac:dyDescent="0.25">
      <c r="L779" s="1">
        <f t="shared" si="11"/>
        <v>0</v>
      </c>
      <c r="N779" s="6" t="str">
        <f>IF(ISERROR(VLOOKUP($A779,'Plano de Contas'!#REF!,8,FALSE)),"",VLOOKUP($A779,'Plano de Contas'!#REF!,8,FALSE))</f>
        <v/>
      </c>
      <c r="P779" s="6" t="str">
        <f>IF(ISERROR(VLOOKUP($A779,'Plano de Contas'!#REF!,10,FALSE)),"",VLOOKUP($A779,'Plano de Contas'!#REF!,10,FALSE))</f>
        <v/>
      </c>
    </row>
    <row r="780" spans="12:16" x14ac:dyDescent="0.25">
      <c r="L780" s="1">
        <f t="shared" ref="L780:L843" si="12">IF(K780="-",-J780,J780)</f>
        <v>0</v>
      </c>
      <c r="N780" s="6" t="str">
        <f>IF(ISERROR(VLOOKUP($A780,'Plano de Contas'!#REF!,8,FALSE)),"",VLOOKUP($A780,'Plano de Contas'!#REF!,8,FALSE))</f>
        <v/>
      </c>
      <c r="P780" s="6" t="str">
        <f>IF(ISERROR(VLOOKUP($A780,'Plano de Contas'!#REF!,10,FALSE)),"",VLOOKUP($A780,'Plano de Contas'!#REF!,10,FALSE))</f>
        <v/>
      </c>
    </row>
    <row r="781" spans="12:16" x14ac:dyDescent="0.25">
      <c r="L781" s="1">
        <f t="shared" si="12"/>
        <v>0</v>
      </c>
      <c r="N781" s="6" t="str">
        <f>IF(ISERROR(VLOOKUP($A781,'Plano de Contas'!#REF!,8,FALSE)),"",VLOOKUP($A781,'Plano de Contas'!#REF!,8,FALSE))</f>
        <v/>
      </c>
      <c r="P781" s="6" t="str">
        <f>IF(ISERROR(VLOOKUP($A781,'Plano de Contas'!#REF!,10,FALSE)),"",VLOOKUP($A781,'Plano de Contas'!#REF!,10,FALSE))</f>
        <v/>
      </c>
    </row>
    <row r="782" spans="12:16" x14ac:dyDescent="0.25">
      <c r="L782" s="1">
        <f t="shared" si="12"/>
        <v>0</v>
      </c>
      <c r="N782" s="6" t="str">
        <f>IF(ISERROR(VLOOKUP($A782,'Plano de Contas'!#REF!,8,FALSE)),"",VLOOKUP($A782,'Plano de Contas'!#REF!,8,FALSE))</f>
        <v/>
      </c>
      <c r="P782" s="6" t="str">
        <f>IF(ISERROR(VLOOKUP($A782,'Plano de Contas'!#REF!,10,FALSE)),"",VLOOKUP($A782,'Plano de Contas'!#REF!,10,FALSE))</f>
        <v/>
      </c>
    </row>
    <row r="783" spans="12:16" x14ac:dyDescent="0.25">
      <c r="L783" s="1">
        <f t="shared" si="12"/>
        <v>0</v>
      </c>
      <c r="N783" s="6" t="str">
        <f>IF(ISERROR(VLOOKUP($A783,'Plano de Contas'!#REF!,8,FALSE)),"",VLOOKUP($A783,'Plano de Contas'!#REF!,8,FALSE))</f>
        <v/>
      </c>
      <c r="P783" s="6" t="str">
        <f>IF(ISERROR(VLOOKUP($A783,'Plano de Contas'!#REF!,10,FALSE)),"",VLOOKUP($A783,'Plano de Contas'!#REF!,10,FALSE))</f>
        <v/>
      </c>
    </row>
    <row r="784" spans="12:16" x14ac:dyDescent="0.25">
      <c r="L784" s="1">
        <f t="shared" si="12"/>
        <v>0</v>
      </c>
      <c r="N784" s="6" t="str">
        <f>IF(ISERROR(VLOOKUP($A784,'Plano de Contas'!#REF!,8,FALSE)),"",VLOOKUP($A784,'Plano de Contas'!#REF!,8,FALSE))</f>
        <v/>
      </c>
      <c r="P784" s="6" t="str">
        <f>IF(ISERROR(VLOOKUP($A784,'Plano de Contas'!#REF!,10,FALSE)),"",VLOOKUP($A784,'Plano de Contas'!#REF!,10,FALSE))</f>
        <v/>
      </c>
    </row>
    <row r="785" spans="12:16" x14ac:dyDescent="0.25">
      <c r="L785" s="1">
        <f t="shared" si="12"/>
        <v>0</v>
      </c>
      <c r="N785" s="6" t="str">
        <f>IF(ISERROR(VLOOKUP($A785,'Plano de Contas'!#REF!,8,FALSE)),"",VLOOKUP($A785,'Plano de Contas'!#REF!,8,FALSE))</f>
        <v/>
      </c>
      <c r="P785" s="6" t="str">
        <f>IF(ISERROR(VLOOKUP($A785,'Plano de Contas'!#REF!,10,FALSE)),"",VLOOKUP($A785,'Plano de Contas'!#REF!,10,FALSE))</f>
        <v/>
      </c>
    </row>
    <row r="786" spans="12:16" x14ac:dyDescent="0.25">
      <c r="L786" s="1">
        <f t="shared" si="12"/>
        <v>0</v>
      </c>
      <c r="N786" s="6" t="str">
        <f>IF(ISERROR(VLOOKUP($A786,'Plano de Contas'!#REF!,8,FALSE)),"",VLOOKUP($A786,'Plano de Contas'!#REF!,8,FALSE))</f>
        <v/>
      </c>
      <c r="P786" s="6" t="str">
        <f>IF(ISERROR(VLOOKUP($A786,'Plano de Contas'!#REF!,10,FALSE)),"",VLOOKUP($A786,'Plano de Contas'!#REF!,10,FALSE))</f>
        <v/>
      </c>
    </row>
    <row r="787" spans="12:16" x14ac:dyDescent="0.25">
      <c r="L787" s="1">
        <f t="shared" si="12"/>
        <v>0</v>
      </c>
      <c r="N787" s="6" t="str">
        <f>IF(ISERROR(VLOOKUP($A787,'Plano de Contas'!#REF!,8,FALSE)),"",VLOOKUP($A787,'Plano de Contas'!#REF!,8,FALSE))</f>
        <v/>
      </c>
      <c r="P787" s="6" t="str">
        <f>IF(ISERROR(VLOOKUP($A787,'Plano de Contas'!#REF!,10,FALSE)),"",VLOOKUP($A787,'Plano de Contas'!#REF!,10,FALSE))</f>
        <v/>
      </c>
    </row>
    <row r="788" spans="12:16" x14ac:dyDescent="0.25">
      <c r="L788" s="1">
        <f t="shared" si="12"/>
        <v>0</v>
      </c>
      <c r="N788" s="6" t="str">
        <f>IF(ISERROR(VLOOKUP($A788,'Plano de Contas'!#REF!,8,FALSE)),"",VLOOKUP($A788,'Plano de Contas'!#REF!,8,FALSE))</f>
        <v/>
      </c>
      <c r="P788" s="6" t="str">
        <f>IF(ISERROR(VLOOKUP($A788,'Plano de Contas'!#REF!,10,FALSE)),"",VLOOKUP($A788,'Plano de Contas'!#REF!,10,FALSE))</f>
        <v/>
      </c>
    </row>
    <row r="789" spans="12:16" x14ac:dyDescent="0.25">
      <c r="L789" s="1">
        <f t="shared" si="12"/>
        <v>0</v>
      </c>
      <c r="N789" s="6" t="str">
        <f>IF(ISERROR(VLOOKUP($A789,'Plano de Contas'!#REF!,8,FALSE)),"",VLOOKUP($A789,'Plano de Contas'!#REF!,8,FALSE))</f>
        <v/>
      </c>
      <c r="P789" s="6" t="str">
        <f>IF(ISERROR(VLOOKUP($A789,'Plano de Contas'!#REF!,10,FALSE)),"",VLOOKUP($A789,'Plano de Contas'!#REF!,10,FALSE))</f>
        <v/>
      </c>
    </row>
    <row r="790" spans="12:16" x14ac:dyDescent="0.25">
      <c r="L790" s="1">
        <f t="shared" si="12"/>
        <v>0</v>
      </c>
      <c r="N790" s="6" t="str">
        <f>IF(ISERROR(VLOOKUP($A790,'Plano de Contas'!#REF!,8,FALSE)),"",VLOOKUP($A790,'Plano de Contas'!#REF!,8,FALSE))</f>
        <v/>
      </c>
      <c r="P790" s="6" t="str">
        <f>IF(ISERROR(VLOOKUP($A790,'Plano de Contas'!#REF!,10,FALSE)),"",VLOOKUP($A790,'Plano de Contas'!#REF!,10,FALSE))</f>
        <v/>
      </c>
    </row>
    <row r="791" spans="12:16" x14ac:dyDescent="0.25">
      <c r="L791" s="1">
        <f t="shared" si="12"/>
        <v>0</v>
      </c>
      <c r="N791" s="6" t="str">
        <f>IF(ISERROR(VLOOKUP($A791,'Plano de Contas'!#REF!,8,FALSE)),"",VLOOKUP($A791,'Plano de Contas'!#REF!,8,FALSE))</f>
        <v/>
      </c>
      <c r="P791" s="6" t="str">
        <f>IF(ISERROR(VLOOKUP($A791,'Plano de Contas'!#REF!,10,FALSE)),"",VLOOKUP($A791,'Plano de Contas'!#REF!,10,FALSE))</f>
        <v/>
      </c>
    </row>
    <row r="792" spans="12:16" x14ac:dyDescent="0.25">
      <c r="L792" s="1">
        <f t="shared" si="12"/>
        <v>0</v>
      </c>
      <c r="N792" s="6" t="str">
        <f>IF(ISERROR(VLOOKUP($A792,'Plano de Contas'!#REF!,8,FALSE)),"",VLOOKUP($A792,'Plano de Contas'!#REF!,8,FALSE))</f>
        <v/>
      </c>
      <c r="P792" s="6" t="str">
        <f>IF(ISERROR(VLOOKUP($A792,'Plano de Contas'!#REF!,10,FALSE)),"",VLOOKUP($A792,'Plano de Contas'!#REF!,10,FALSE))</f>
        <v/>
      </c>
    </row>
    <row r="793" spans="12:16" x14ac:dyDescent="0.25">
      <c r="L793" s="1">
        <f t="shared" si="12"/>
        <v>0</v>
      </c>
      <c r="N793" s="6" t="str">
        <f>IF(ISERROR(VLOOKUP($A793,'Plano de Contas'!#REF!,7)),"",VLOOKUP($A793,'Plano de Contas'!#REF!,7))</f>
        <v/>
      </c>
    </row>
    <row r="794" spans="12:16" x14ac:dyDescent="0.25">
      <c r="L794" s="1">
        <f t="shared" si="12"/>
        <v>0</v>
      </c>
      <c r="N794" s="6" t="str">
        <f>IF(ISERROR(VLOOKUP($A794,'Plano de Contas'!#REF!,7)),"",VLOOKUP($A794,'Plano de Contas'!#REF!,7))</f>
        <v/>
      </c>
    </row>
    <row r="795" spans="12:16" x14ac:dyDescent="0.25">
      <c r="L795" s="1">
        <f t="shared" si="12"/>
        <v>0</v>
      </c>
      <c r="N795" s="6" t="str">
        <f>IF(ISERROR(VLOOKUP($A795,'Plano de Contas'!#REF!,7)),"",VLOOKUP($A795,'Plano de Contas'!#REF!,7))</f>
        <v/>
      </c>
    </row>
    <row r="796" spans="12:16" x14ac:dyDescent="0.25">
      <c r="L796" s="1">
        <f t="shared" si="12"/>
        <v>0</v>
      </c>
      <c r="N796" s="6" t="str">
        <f>IF(ISERROR(VLOOKUP($A796,'Plano de Contas'!#REF!,7)),"",VLOOKUP($A796,'Plano de Contas'!#REF!,7))</f>
        <v/>
      </c>
    </row>
    <row r="797" spans="12:16" x14ac:dyDescent="0.25">
      <c r="L797" s="1">
        <f t="shared" si="12"/>
        <v>0</v>
      </c>
      <c r="N797" s="6" t="str">
        <f>IF(ISERROR(VLOOKUP($A797,'Plano de Contas'!#REF!,7)),"",VLOOKUP($A797,'Plano de Contas'!#REF!,7))</f>
        <v/>
      </c>
    </row>
    <row r="798" spans="12:16" x14ac:dyDescent="0.25">
      <c r="L798" s="1">
        <f t="shared" si="12"/>
        <v>0</v>
      </c>
      <c r="N798" s="6" t="str">
        <f>IF(ISERROR(VLOOKUP($A798,'Plano de Contas'!#REF!,7)),"",VLOOKUP($A798,'Plano de Contas'!#REF!,7))</f>
        <v/>
      </c>
    </row>
    <row r="799" spans="12:16" x14ac:dyDescent="0.25">
      <c r="L799" s="1">
        <f t="shared" si="12"/>
        <v>0</v>
      </c>
      <c r="N799" s="6" t="str">
        <f>IF(ISERROR(VLOOKUP($A799,'Plano de Contas'!#REF!,7)),"",VLOOKUP($A799,'Plano de Contas'!#REF!,7))</f>
        <v/>
      </c>
    </row>
    <row r="800" spans="12:16" x14ac:dyDescent="0.25">
      <c r="L800" s="1">
        <f t="shared" si="12"/>
        <v>0</v>
      </c>
      <c r="N800" s="6" t="str">
        <f>IF(ISERROR(VLOOKUP($A800,'Plano de Contas'!#REF!,7)),"",VLOOKUP($A800,'Plano de Contas'!#REF!,7))</f>
        <v/>
      </c>
    </row>
    <row r="801" spans="12:14" x14ac:dyDescent="0.25">
      <c r="L801" s="1">
        <f t="shared" si="12"/>
        <v>0</v>
      </c>
      <c r="N801" s="6" t="str">
        <f>IF(ISERROR(VLOOKUP($A801,'Plano de Contas'!#REF!,7)),"",VLOOKUP($A801,'Plano de Contas'!#REF!,7))</f>
        <v/>
      </c>
    </row>
    <row r="802" spans="12:14" x14ac:dyDescent="0.25">
      <c r="L802" s="1">
        <f t="shared" si="12"/>
        <v>0</v>
      </c>
      <c r="N802" s="6" t="str">
        <f>IF(ISERROR(VLOOKUP($A802,'Plano de Contas'!#REF!,7)),"",VLOOKUP($A802,'Plano de Contas'!#REF!,7))</f>
        <v/>
      </c>
    </row>
    <row r="803" spans="12:14" x14ac:dyDescent="0.25">
      <c r="L803" s="1">
        <f t="shared" si="12"/>
        <v>0</v>
      </c>
      <c r="N803" s="6" t="str">
        <f>IF(ISERROR(VLOOKUP($A803,'Plano de Contas'!#REF!,7)),"",VLOOKUP($A803,'Plano de Contas'!#REF!,7))</f>
        <v/>
      </c>
    </row>
    <row r="804" spans="12:14" x14ac:dyDescent="0.25">
      <c r="L804" s="1">
        <f t="shared" si="12"/>
        <v>0</v>
      </c>
      <c r="N804" s="6" t="str">
        <f>IF(ISERROR(VLOOKUP($A804,'Plano de Contas'!#REF!,7)),"",VLOOKUP($A804,'Plano de Contas'!#REF!,7))</f>
        <v/>
      </c>
    </row>
    <row r="805" spans="12:14" x14ac:dyDescent="0.25">
      <c r="L805" s="1">
        <f t="shared" si="12"/>
        <v>0</v>
      </c>
      <c r="N805" s="6" t="str">
        <f>IF(ISERROR(VLOOKUP($A805,'Plano de Contas'!#REF!,7)),"",VLOOKUP($A805,'Plano de Contas'!#REF!,7))</f>
        <v/>
      </c>
    </row>
    <row r="806" spans="12:14" x14ac:dyDescent="0.25">
      <c r="L806" s="1">
        <f t="shared" si="12"/>
        <v>0</v>
      </c>
      <c r="N806" s="6" t="str">
        <f>IF(ISERROR(VLOOKUP($A806,'Plano de Contas'!#REF!,7)),"",VLOOKUP($A806,'Plano de Contas'!#REF!,7))</f>
        <v/>
      </c>
    </row>
    <row r="807" spans="12:14" x14ac:dyDescent="0.25">
      <c r="L807" s="1">
        <f t="shared" si="12"/>
        <v>0</v>
      </c>
      <c r="N807" s="6" t="str">
        <f>IF(ISERROR(VLOOKUP($A807,'Plano de Contas'!#REF!,7)),"",VLOOKUP($A807,'Plano de Contas'!#REF!,7))</f>
        <v/>
      </c>
    </row>
    <row r="808" spans="12:14" x14ac:dyDescent="0.25">
      <c r="L808" s="1">
        <f t="shared" si="12"/>
        <v>0</v>
      </c>
      <c r="N808" s="6" t="str">
        <f>IF(ISERROR(VLOOKUP($A808,'Plano de Contas'!#REF!,7)),"",VLOOKUP($A808,'Plano de Contas'!#REF!,7))</f>
        <v/>
      </c>
    </row>
    <row r="809" spans="12:14" x14ac:dyDescent="0.25">
      <c r="L809" s="1">
        <f t="shared" si="12"/>
        <v>0</v>
      </c>
      <c r="N809" s="6" t="str">
        <f>IF(ISERROR(VLOOKUP($A809,'Plano de Contas'!#REF!,7)),"",VLOOKUP($A809,'Plano de Contas'!#REF!,7))</f>
        <v/>
      </c>
    </row>
    <row r="810" spans="12:14" x14ac:dyDescent="0.25">
      <c r="L810" s="1">
        <f t="shared" si="12"/>
        <v>0</v>
      </c>
      <c r="N810" s="6" t="str">
        <f>IF(ISERROR(VLOOKUP($A810,'Plano de Contas'!#REF!,7)),"",VLOOKUP($A810,'Plano de Contas'!#REF!,7))</f>
        <v/>
      </c>
    </row>
    <row r="811" spans="12:14" x14ac:dyDescent="0.25">
      <c r="L811" s="1">
        <f t="shared" si="12"/>
        <v>0</v>
      </c>
      <c r="N811" s="6" t="str">
        <f>IF(ISERROR(VLOOKUP($A811,'Plano de Contas'!#REF!,7)),"",VLOOKUP($A811,'Plano de Contas'!#REF!,7))</f>
        <v/>
      </c>
    </row>
    <row r="812" spans="12:14" x14ac:dyDescent="0.25">
      <c r="L812" s="1">
        <f t="shared" si="12"/>
        <v>0</v>
      </c>
      <c r="N812" s="6" t="str">
        <f>IF(ISERROR(VLOOKUP($A812,'Plano de Contas'!#REF!,7)),"",VLOOKUP($A812,'Plano de Contas'!#REF!,7))</f>
        <v/>
      </c>
    </row>
    <row r="813" spans="12:14" x14ac:dyDescent="0.25">
      <c r="L813" s="1">
        <f t="shared" si="12"/>
        <v>0</v>
      </c>
      <c r="N813" s="6" t="str">
        <f>IF(ISERROR(VLOOKUP($A813,'Plano de Contas'!#REF!,7)),"",VLOOKUP($A813,'Plano de Contas'!#REF!,7))</f>
        <v/>
      </c>
    </row>
    <row r="814" spans="12:14" x14ac:dyDescent="0.25">
      <c r="L814" s="1">
        <f t="shared" si="12"/>
        <v>0</v>
      </c>
      <c r="N814" s="6" t="str">
        <f>IF(ISERROR(VLOOKUP($A814,'Plano de Contas'!#REF!,7)),"",VLOOKUP($A814,'Plano de Contas'!#REF!,7))</f>
        <v/>
      </c>
    </row>
    <row r="815" spans="12:14" x14ac:dyDescent="0.25">
      <c r="L815" s="1">
        <f t="shared" si="12"/>
        <v>0</v>
      </c>
      <c r="N815" s="6" t="str">
        <f>IF(ISERROR(VLOOKUP($A815,'Plano de Contas'!#REF!,7)),"",VLOOKUP($A815,'Plano de Contas'!#REF!,7))</f>
        <v/>
      </c>
    </row>
    <row r="816" spans="12:14" x14ac:dyDescent="0.25">
      <c r="L816" s="1">
        <f t="shared" si="12"/>
        <v>0</v>
      </c>
      <c r="N816" s="6" t="str">
        <f>IF(ISERROR(VLOOKUP($A816,'Plano de Contas'!#REF!,7)),"",VLOOKUP($A816,'Plano de Contas'!#REF!,7))</f>
        <v/>
      </c>
    </row>
    <row r="817" spans="12:14" x14ac:dyDescent="0.25">
      <c r="L817" s="1">
        <f t="shared" si="12"/>
        <v>0</v>
      </c>
      <c r="N817" s="6" t="str">
        <f>IF(ISERROR(VLOOKUP($A817,'Plano de Contas'!#REF!,7)),"",VLOOKUP($A817,'Plano de Contas'!#REF!,7))</f>
        <v/>
      </c>
    </row>
    <row r="818" spans="12:14" x14ac:dyDescent="0.25">
      <c r="L818" s="1">
        <f t="shared" si="12"/>
        <v>0</v>
      </c>
      <c r="N818" s="6" t="str">
        <f>IF(ISERROR(VLOOKUP($A818,'Plano de Contas'!#REF!,7)),"",VLOOKUP($A818,'Plano de Contas'!#REF!,7))</f>
        <v/>
      </c>
    </row>
    <row r="819" spans="12:14" x14ac:dyDescent="0.25">
      <c r="L819" s="1">
        <f t="shared" si="12"/>
        <v>0</v>
      </c>
      <c r="N819" s="6" t="str">
        <f>IF(ISERROR(VLOOKUP($A819,'Plano de Contas'!#REF!,7)),"",VLOOKUP($A819,'Plano de Contas'!#REF!,7))</f>
        <v/>
      </c>
    </row>
    <row r="820" spans="12:14" x14ac:dyDescent="0.25">
      <c r="L820" s="1">
        <f t="shared" si="12"/>
        <v>0</v>
      </c>
      <c r="N820" s="6" t="str">
        <f>IF(ISERROR(VLOOKUP($A820,'Plano de Contas'!#REF!,7)),"",VLOOKUP($A820,'Plano de Contas'!#REF!,7))</f>
        <v/>
      </c>
    </row>
    <row r="821" spans="12:14" x14ac:dyDescent="0.25">
      <c r="L821" s="1">
        <f t="shared" si="12"/>
        <v>0</v>
      </c>
      <c r="N821" s="6" t="str">
        <f>IF(ISERROR(VLOOKUP($A821,'Plano de Contas'!#REF!,7)),"",VLOOKUP($A821,'Plano de Contas'!#REF!,7))</f>
        <v/>
      </c>
    </row>
    <row r="822" spans="12:14" x14ac:dyDescent="0.25">
      <c r="L822" s="1">
        <f t="shared" si="12"/>
        <v>0</v>
      </c>
      <c r="N822" s="6" t="str">
        <f>IF(ISERROR(VLOOKUP($A822,'Plano de Contas'!#REF!,7)),"",VLOOKUP($A822,'Plano de Contas'!#REF!,7))</f>
        <v/>
      </c>
    </row>
    <row r="823" spans="12:14" x14ac:dyDescent="0.25">
      <c r="L823" s="1">
        <f t="shared" si="12"/>
        <v>0</v>
      </c>
      <c r="N823" s="6" t="str">
        <f>IF(ISERROR(VLOOKUP($A823,'Plano de Contas'!#REF!,7)),"",VLOOKUP($A823,'Plano de Contas'!#REF!,7))</f>
        <v/>
      </c>
    </row>
    <row r="824" spans="12:14" x14ac:dyDescent="0.25">
      <c r="L824" s="1">
        <f t="shared" si="12"/>
        <v>0</v>
      </c>
      <c r="N824" s="6" t="str">
        <f>IF(ISERROR(VLOOKUP($A824,'Plano de Contas'!#REF!,7)),"",VLOOKUP($A824,'Plano de Contas'!#REF!,7))</f>
        <v/>
      </c>
    </row>
    <row r="825" spans="12:14" x14ac:dyDescent="0.25">
      <c r="L825" s="1">
        <f t="shared" si="12"/>
        <v>0</v>
      </c>
      <c r="N825" s="6" t="str">
        <f>IF(ISERROR(VLOOKUP($A825,'Plano de Contas'!#REF!,7)),"",VLOOKUP($A825,'Plano de Contas'!#REF!,7))</f>
        <v/>
      </c>
    </row>
    <row r="826" spans="12:14" x14ac:dyDescent="0.25">
      <c r="L826" s="1">
        <f t="shared" si="12"/>
        <v>0</v>
      </c>
      <c r="N826" s="6" t="str">
        <f>IF(ISERROR(VLOOKUP($A826,'Plano de Contas'!#REF!,7)),"",VLOOKUP($A826,'Plano de Contas'!#REF!,7))</f>
        <v/>
      </c>
    </row>
    <row r="827" spans="12:14" x14ac:dyDescent="0.25">
      <c r="L827" s="1">
        <f t="shared" si="12"/>
        <v>0</v>
      </c>
      <c r="N827" s="6" t="str">
        <f>IF(ISERROR(VLOOKUP($A827,'Plano de Contas'!#REF!,7)),"",VLOOKUP($A827,'Plano de Contas'!#REF!,7))</f>
        <v/>
      </c>
    </row>
    <row r="828" spans="12:14" x14ac:dyDescent="0.25">
      <c r="L828" s="1">
        <f t="shared" si="12"/>
        <v>0</v>
      </c>
      <c r="N828" s="6" t="str">
        <f>IF(ISERROR(VLOOKUP($A828,'Plano de Contas'!#REF!,7)),"",VLOOKUP($A828,'Plano de Contas'!#REF!,7))</f>
        <v/>
      </c>
    </row>
    <row r="829" spans="12:14" x14ac:dyDescent="0.25">
      <c r="L829" s="1">
        <f t="shared" si="12"/>
        <v>0</v>
      </c>
      <c r="N829" s="6" t="str">
        <f>IF(ISERROR(VLOOKUP($A829,'Plano de Contas'!#REF!,7)),"",VLOOKUP($A829,'Plano de Contas'!#REF!,7))</f>
        <v/>
      </c>
    </row>
    <row r="830" spans="12:14" x14ac:dyDescent="0.25">
      <c r="L830" s="1">
        <f t="shared" si="12"/>
        <v>0</v>
      </c>
      <c r="N830" s="6" t="str">
        <f>IF(ISERROR(VLOOKUP($A830,'Plano de Contas'!#REF!,7)),"",VLOOKUP($A830,'Plano de Contas'!#REF!,7))</f>
        <v/>
      </c>
    </row>
    <row r="831" spans="12:14" x14ac:dyDescent="0.25">
      <c r="L831" s="1">
        <f t="shared" si="12"/>
        <v>0</v>
      </c>
      <c r="N831" s="6" t="str">
        <f>IF(ISERROR(VLOOKUP($A831,'Plano de Contas'!#REF!,7)),"",VLOOKUP($A831,'Plano de Contas'!#REF!,7))</f>
        <v/>
      </c>
    </row>
    <row r="832" spans="12:14" x14ac:dyDescent="0.25">
      <c r="L832" s="1">
        <f t="shared" si="12"/>
        <v>0</v>
      </c>
      <c r="N832" s="6" t="str">
        <f>IF(ISERROR(VLOOKUP($A832,'Plano de Contas'!#REF!,7)),"",VLOOKUP($A832,'Plano de Contas'!#REF!,7))</f>
        <v/>
      </c>
    </row>
    <row r="833" spans="12:14" x14ac:dyDescent="0.25">
      <c r="L833" s="1">
        <f t="shared" si="12"/>
        <v>0</v>
      </c>
      <c r="N833" s="6" t="str">
        <f>IF(ISERROR(VLOOKUP($A833,'Plano de Contas'!#REF!,7)),"",VLOOKUP($A833,'Plano de Contas'!#REF!,7))</f>
        <v/>
      </c>
    </row>
    <row r="834" spans="12:14" x14ac:dyDescent="0.25">
      <c r="L834" s="1">
        <f t="shared" si="12"/>
        <v>0</v>
      </c>
      <c r="N834" s="6" t="str">
        <f>IF(ISERROR(VLOOKUP($A834,'Plano de Contas'!#REF!,7)),"",VLOOKUP($A834,'Plano de Contas'!#REF!,7))</f>
        <v/>
      </c>
    </row>
    <row r="835" spans="12:14" x14ac:dyDescent="0.25">
      <c r="L835" s="1">
        <f t="shared" si="12"/>
        <v>0</v>
      </c>
      <c r="N835" s="6" t="str">
        <f>IF(ISERROR(VLOOKUP($A835,'Plano de Contas'!#REF!,7)),"",VLOOKUP($A835,'Plano de Contas'!#REF!,7))</f>
        <v/>
      </c>
    </row>
    <row r="836" spans="12:14" x14ac:dyDescent="0.25">
      <c r="L836" s="1">
        <f t="shared" si="12"/>
        <v>0</v>
      </c>
      <c r="N836" s="6" t="str">
        <f>IF(ISERROR(VLOOKUP($A836,'Plano de Contas'!#REF!,7)),"",VLOOKUP($A836,'Plano de Contas'!#REF!,7))</f>
        <v/>
      </c>
    </row>
    <row r="837" spans="12:14" x14ac:dyDescent="0.25">
      <c r="L837" s="1">
        <f t="shared" si="12"/>
        <v>0</v>
      </c>
      <c r="N837" s="6" t="str">
        <f>IF(ISERROR(VLOOKUP($A837,'Plano de Contas'!#REF!,7)),"",VLOOKUP($A837,'Plano de Contas'!#REF!,7))</f>
        <v/>
      </c>
    </row>
    <row r="838" spans="12:14" x14ac:dyDescent="0.25">
      <c r="L838" s="1">
        <f t="shared" si="12"/>
        <v>0</v>
      </c>
      <c r="N838" s="6" t="str">
        <f>IF(ISERROR(VLOOKUP($A838,'Plano de Contas'!#REF!,7)),"",VLOOKUP($A838,'Plano de Contas'!#REF!,7))</f>
        <v/>
      </c>
    </row>
    <row r="839" spans="12:14" x14ac:dyDescent="0.25">
      <c r="L839" s="1">
        <f t="shared" si="12"/>
        <v>0</v>
      </c>
      <c r="N839" s="6" t="str">
        <f>IF(ISERROR(VLOOKUP($A839,'Plano de Contas'!#REF!,7)),"",VLOOKUP($A839,'Plano de Contas'!#REF!,7))</f>
        <v/>
      </c>
    </row>
    <row r="840" spans="12:14" x14ac:dyDescent="0.25">
      <c r="L840" s="1">
        <f t="shared" si="12"/>
        <v>0</v>
      </c>
      <c r="N840" s="6" t="str">
        <f>IF(ISERROR(VLOOKUP($A840,'Plano de Contas'!#REF!,7)),"",VLOOKUP($A840,'Plano de Contas'!#REF!,7))</f>
        <v/>
      </c>
    </row>
    <row r="841" spans="12:14" x14ac:dyDescent="0.25">
      <c r="L841" s="1">
        <f t="shared" si="12"/>
        <v>0</v>
      </c>
      <c r="N841" s="6" t="str">
        <f>IF(ISERROR(VLOOKUP($A841,'Plano de Contas'!#REF!,7)),"",VLOOKUP($A841,'Plano de Contas'!#REF!,7))</f>
        <v/>
      </c>
    </row>
    <row r="842" spans="12:14" x14ac:dyDescent="0.25">
      <c r="L842" s="1">
        <f t="shared" si="12"/>
        <v>0</v>
      </c>
      <c r="N842" s="6" t="str">
        <f>IF(ISERROR(VLOOKUP($A842,'Plano de Contas'!#REF!,7)),"",VLOOKUP($A842,'Plano de Contas'!#REF!,7))</f>
        <v/>
      </c>
    </row>
    <row r="843" spans="12:14" x14ac:dyDescent="0.25">
      <c r="L843" s="1">
        <f t="shared" si="12"/>
        <v>0</v>
      </c>
      <c r="N843" s="6" t="str">
        <f>IF(ISERROR(VLOOKUP($A843,'Plano de Contas'!#REF!,7)),"",VLOOKUP($A843,'Plano de Contas'!#REF!,7))</f>
        <v/>
      </c>
    </row>
    <row r="844" spans="12:14" x14ac:dyDescent="0.25">
      <c r="L844" s="1">
        <f t="shared" ref="L844:L907" si="13">IF(K844="-",-J844,J844)</f>
        <v>0</v>
      </c>
      <c r="N844" s="6" t="str">
        <f>IF(ISERROR(VLOOKUP($A844,'Plano de Contas'!#REF!,7)),"",VLOOKUP($A844,'Plano de Contas'!#REF!,7))</f>
        <v/>
      </c>
    </row>
    <row r="845" spans="12:14" x14ac:dyDescent="0.25">
      <c r="L845" s="1">
        <f t="shared" si="13"/>
        <v>0</v>
      </c>
      <c r="N845" s="6" t="str">
        <f>IF(ISERROR(VLOOKUP($A845,'Plano de Contas'!#REF!,7)),"",VLOOKUP($A845,'Plano de Contas'!#REF!,7))</f>
        <v/>
      </c>
    </row>
    <row r="846" spans="12:14" x14ac:dyDescent="0.25">
      <c r="L846" s="1">
        <f t="shared" si="13"/>
        <v>0</v>
      </c>
      <c r="N846" s="6" t="str">
        <f>IF(ISERROR(VLOOKUP($A846,'Plano de Contas'!#REF!,7)),"",VLOOKUP($A846,'Plano de Contas'!#REF!,7))</f>
        <v/>
      </c>
    </row>
    <row r="847" spans="12:14" x14ac:dyDescent="0.25">
      <c r="L847" s="1">
        <f t="shared" si="13"/>
        <v>0</v>
      </c>
      <c r="N847" s="6" t="str">
        <f>IF(ISERROR(VLOOKUP($A847,'Plano de Contas'!#REF!,7)),"",VLOOKUP($A847,'Plano de Contas'!#REF!,7))</f>
        <v/>
      </c>
    </row>
    <row r="848" spans="12:14" x14ac:dyDescent="0.25">
      <c r="L848" s="1">
        <f t="shared" si="13"/>
        <v>0</v>
      </c>
      <c r="N848" s="6" t="str">
        <f>IF(ISERROR(VLOOKUP($A848,'Plano de Contas'!#REF!,7)),"",VLOOKUP($A848,'Plano de Contas'!#REF!,7))</f>
        <v/>
      </c>
    </row>
    <row r="849" spans="12:14" x14ac:dyDescent="0.25">
      <c r="L849" s="1">
        <f t="shared" si="13"/>
        <v>0</v>
      </c>
      <c r="N849" s="6" t="str">
        <f>IF(ISERROR(VLOOKUP($A849,'Plano de Contas'!#REF!,7)),"",VLOOKUP($A849,'Plano de Contas'!#REF!,7))</f>
        <v/>
      </c>
    </row>
    <row r="850" spans="12:14" x14ac:dyDescent="0.25">
      <c r="L850" s="1">
        <f t="shared" si="13"/>
        <v>0</v>
      </c>
      <c r="N850" s="6" t="str">
        <f>IF(ISERROR(VLOOKUP($A850,'Plano de Contas'!#REF!,7)),"",VLOOKUP($A850,'Plano de Contas'!#REF!,7))</f>
        <v/>
      </c>
    </row>
    <row r="851" spans="12:14" x14ac:dyDescent="0.25">
      <c r="L851" s="1">
        <f t="shared" si="13"/>
        <v>0</v>
      </c>
      <c r="N851" s="6" t="str">
        <f>IF(ISERROR(VLOOKUP($A851,'Plano de Contas'!#REF!,7)),"",VLOOKUP($A851,'Plano de Contas'!#REF!,7))</f>
        <v/>
      </c>
    </row>
    <row r="852" spans="12:14" x14ac:dyDescent="0.25">
      <c r="L852" s="1">
        <f t="shared" si="13"/>
        <v>0</v>
      </c>
      <c r="N852" s="6" t="str">
        <f>IF(ISERROR(VLOOKUP($A852,'Plano de Contas'!#REF!,7)),"",VLOOKUP($A852,'Plano de Contas'!#REF!,7))</f>
        <v/>
      </c>
    </row>
    <row r="853" spans="12:14" x14ac:dyDescent="0.25">
      <c r="L853" s="1">
        <f t="shared" si="13"/>
        <v>0</v>
      </c>
      <c r="N853" s="6" t="str">
        <f>IF(ISERROR(VLOOKUP($A853,'Plano de Contas'!#REF!,7)),"",VLOOKUP($A853,'Plano de Contas'!#REF!,7))</f>
        <v/>
      </c>
    </row>
    <row r="854" spans="12:14" x14ac:dyDescent="0.25">
      <c r="L854" s="1">
        <f t="shared" si="13"/>
        <v>0</v>
      </c>
      <c r="N854" s="6" t="str">
        <f>IF(ISERROR(VLOOKUP($A854,'Plano de Contas'!#REF!,7)),"",VLOOKUP($A854,'Plano de Contas'!#REF!,7))</f>
        <v/>
      </c>
    </row>
    <row r="855" spans="12:14" x14ac:dyDescent="0.25">
      <c r="L855" s="1">
        <f t="shared" si="13"/>
        <v>0</v>
      </c>
      <c r="N855" s="6" t="str">
        <f>IF(ISERROR(VLOOKUP($A855,'Plano de Contas'!#REF!,7)),"",VLOOKUP($A855,'Plano de Contas'!#REF!,7))</f>
        <v/>
      </c>
    </row>
    <row r="856" spans="12:14" x14ac:dyDescent="0.25">
      <c r="L856" s="1">
        <f t="shared" si="13"/>
        <v>0</v>
      </c>
      <c r="N856" s="6" t="str">
        <f>IF(ISERROR(VLOOKUP($A856,'Plano de Contas'!#REF!,7)),"",VLOOKUP($A856,'Plano de Contas'!#REF!,7))</f>
        <v/>
      </c>
    </row>
    <row r="857" spans="12:14" x14ac:dyDescent="0.25">
      <c r="L857" s="1">
        <f t="shared" si="13"/>
        <v>0</v>
      </c>
      <c r="N857" s="6" t="str">
        <f>IF(ISERROR(VLOOKUP($A857,'Plano de Contas'!#REF!,7)),"",VLOOKUP($A857,'Plano de Contas'!#REF!,7))</f>
        <v/>
      </c>
    </row>
    <row r="858" spans="12:14" x14ac:dyDescent="0.25">
      <c r="L858" s="1">
        <f t="shared" si="13"/>
        <v>0</v>
      </c>
      <c r="N858" s="6" t="str">
        <f>IF(ISERROR(VLOOKUP($A858,'Plano de Contas'!#REF!,7)),"",VLOOKUP($A858,'Plano de Contas'!#REF!,7))</f>
        <v/>
      </c>
    </row>
    <row r="859" spans="12:14" x14ac:dyDescent="0.25">
      <c r="L859" s="1">
        <f t="shared" si="13"/>
        <v>0</v>
      </c>
      <c r="N859" s="6" t="str">
        <f>IF(ISERROR(VLOOKUP($A859,'Plano de Contas'!#REF!,7)),"",VLOOKUP($A859,'Plano de Contas'!#REF!,7))</f>
        <v/>
      </c>
    </row>
    <row r="860" spans="12:14" x14ac:dyDescent="0.25">
      <c r="L860" s="1">
        <f t="shared" si="13"/>
        <v>0</v>
      </c>
      <c r="N860" s="6" t="str">
        <f>IF(ISERROR(VLOOKUP($A860,'Plano de Contas'!#REF!,7)),"",VLOOKUP($A860,'Plano de Contas'!#REF!,7))</f>
        <v/>
      </c>
    </row>
    <row r="861" spans="12:14" x14ac:dyDescent="0.25">
      <c r="L861" s="1">
        <f t="shared" si="13"/>
        <v>0</v>
      </c>
      <c r="N861" s="6" t="str">
        <f>IF(ISERROR(VLOOKUP($A861,'Plano de Contas'!#REF!,7)),"",VLOOKUP($A861,'Plano de Contas'!#REF!,7))</f>
        <v/>
      </c>
    </row>
    <row r="862" spans="12:14" x14ac:dyDescent="0.25">
      <c r="L862" s="1">
        <f t="shared" si="13"/>
        <v>0</v>
      </c>
      <c r="N862" s="6" t="str">
        <f>IF(ISERROR(VLOOKUP($A862,'Plano de Contas'!#REF!,7)),"",VLOOKUP($A862,'Plano de Contas'!#REF!,7))</f>
        <v/>
      </c>
    </row>
    <row r="863" spans="12:14" x14ac:dyDescent="0.25">
      <c r="L863" s="1">
        <f t="shared" si="13"/>
        <v>0</v>
      </c>
      <c r="N863" s="6" t="str">
        <f>IF(ISERROR(VLOOKUP($A863,'Plano de Contas'!#REF!,7)),"",VLOOKUP($A863,'Plano de Contas'!#REF!,7))</f>
        <v/>
      </c>
    </row>
    <row r="864" spans="12:14" x14ac:dyDescent="0.25">
      <c r="L864" s="1">
        <f t="shared" si="13"/>
        <v>0</v>
      </c>
      <c r="N864" s="6" t="str">
        <f>IF(ISERROR(VLOOKUP($A864,'Plano de Contas'!#REF!,7)),"",VLOOKUP($A864,'Plano de Contas'!#REF!,7))</f>
        <v/>
      </c>
    </row>
    <row r="865" spans="12:14" x14ac:dyDescent="0.25">
      <c r="L865" s="1">
        <f t="shared" si="13"/>
        <v>0</v>
      </c>
      <c r="N865" s="6" t="str">
        <f>IF(ISERROR(VLOOKUP($A865,'Plano de Contas'!#REF!,7)),"",VLOOKUP($A865,'Plano de Contas'!#REF!,7))</f>
        <v/>
      </c>
    </row>
    <row r="866" spans="12:14" x14ac:dyDescent="0.25">
      <c r="L866" s="1">
        <f t="shared" si="13"/>
        <v>0</v>
      </c>
      <c r="N866" s="6" t="str">
        <f>IF(ISERROR(VLOOKUP($A866,'Plano de Contas'!#REF!,7)),"",VLOOKUP($A866,'Plano de Contas'!#REF!,7))</f>
        <v/>
      </c>
    </row>
    <row r="867" spans="12:14" x14ac:dyDescent="0.25">
      <c r="L867" s="1">
        <f t="shared" si="13"/>
        <v>0</v>
      </c>
      <c r="N867" s="6" t="str">
        <f>IF(ISERROR(VLOOKUP($A867,'Plano de Contas'!#REF!,7)),"",VLOOKUP($A867,'Plano de Contas'!#REF!,7))</f>
        <v/>
      </c>
    </row>
    <row r="868" spans="12:14" x14ac:dyDescent="0.25">
      <c r="L868" s="1">
        <f t="shared" si="13"/>
        <v>0</v>
      </c>
      <c r="N868" s="6" t="str">
        <f>IF(ISERROR(VLOOKUP($A868,'Plano de Contas'!#REF!,7)),"",VLOOKUP($A868,'Plano de Contas'!#REF!,7))</f>
        <v/>
      </c>
    </row>
    <row r="869" spans="12:14" x14ac:dyDescent="0.25">
      <c r="L869" s="1">
        <f t="shared" si="13"/>
        <v>0</v>
      </c>
      <c r="N869" s="6" t="str">
        <f>IF(ISERROR(VLOOKUP($A869,'Plano de Contas'!#REF!,7)),"",VLOOKUP($A869,'Plano de Contas'!#REF!,7))</f>
        <v/>
      </c>
    </row>
    <row r="870" spans="12:14" x14ac:dyDescent="0.25">
      <c r="L870" s="1">
        <f t="shared" si="13"/>
        <v>0</v>
      </c>
      <c r="N870" s="6" t="str">
        <f>IF(ISERROR(VLOOKUP($A870,'Plano de Contas'!#REF!,7)),"",VLOOKUP($A870,'Plano de Contas'!#REF!,7))</f>
        <v/>
      </c>
    </row>
    <row r="871" spans="12:14" x14ac:dyDescent="0.25">
      <c r="L871" s="1">
        <f t="shared" si="13"/>
        <v>0</v>
      </c>
      <c r="N871" s="6" t="str">
        <f>IF(ISERROR(VLOOKUP($A871,'Plano de Contas'!#REF!,7)),"",VLOOKUP($A871,'Plano de Contas'!#REF!,7))</f>
        <v/>
      </c>
    </row>
    <row r="872" spans="12:14" x14ac:dyDescent="0.25">
      <c r="L872" s="1">
        <f t="shared" si="13"/>
        <v>0</v>
      </c>
      <c r="N872" s="6" t="str">
        <f>IF(ISERROR(VLOOKUP($A872,'Plano de Contas'!#REF!,7)),"",VLOOKUP($A872,'Plano de Contas'!#REF!,7))</f>
        <v/>
      </c>
    </row>
    <row r="873" spans="12:14" x14ac:dyDescent="0.25">
      <c r="L873" s="1">
        <f t="shared" si="13"/>
        <v>0</v>
      </c>
      <c r="N873" s="6" t="str">
        <f>IF(ISERROR(VLOOKUP($A873,'Plano de Contas'!#REF!,7)),"",VLOOKUP($A873,'Plano de Contas'!#REF!,7))</f>
        <v/>
      </c>
    </row>
    <row r="874" spans="12:14" x14ac:dyDescent="0.25">
      <c r="L874" s="1">
        <f t="shared" si="13"/>
        <v>0</v>
      </c>
      <c r="N874" s="6" t="str">
        <f>IF(ISERROR(VLOOKUP($A874,'Plano de Contas'!#REF!,7)),"",VLOOKUP($A874,'Plano de Contas'!#REF!,7))</f>
        <v/>
      </c>
    </row>
    <row r="875" spans="12:14" x14ac:dyDescent="0.25">
      <c r="L875" s="1">
        <f t="shared" si="13"/>
        <v>0</v>
      </c>
      <c r="N875" s="6" t="str">
        <f>IF(ISERROR(VLOOKUP($A875,'Plano de Contas'!#REF!,7)),"",VLOOKUP($A875,'Plano de Contas'!#REF!,7))</f>
        <v/>
      </c>
    </row>
    <row r="876" spans="12:14" x14ac:dyDescent="0.25">
      <c r="L876" s="1">
        <f t="shared" si="13"/>
        <v>0</v>
      </c>
      <c r="N876" s="6" t="str">
        <f>IF(ISERROR(VLOOKUP($A876,'Plano de Contas'!#REF!,7)),"",VLOOKUP($A876,'Plano de Contas'!#REF!,7))</f>
        <v/>
      </c>
    </row>
    <row r="877" spans="12:14" x14ac:dyDescent="0.25">
      <c r="L877" s="1">
        <f t="shared" si="13"/>
        <v>0</v>
      </c>
      <c r="N877" s="6" t="str">
        <f>IF(ISERROR(VLOOKUP($A877,'Plano de Contas'!#REF!,7)),"",VLOOKUP($A877,'Plano de Contas'!#REF!,7))</f>
        <v/>
      </c>
    </row>
    <row r="878" spans="12:14" x14ac:dyDescent="0.25">
      <c r="L878" s="1">
        <f t="shared" si="13"/>
        <v>0</v>
      </c>
      <c r="N878" s="6" t="str">
        <f>IF(ISERROR(VLOOKUP($A878,'Plano de Contas'!#REF!,7)),"",VLOOKUP($A878,'Plano de Contas'!#REF!,7))</f>
        <v/>
      </c>
    </row>
    <row r="879" spans="12:14" x14ac:dyDescent="0.25">
      <c r="L879" s="1">
        <f t="shared" si="13"/>
        <v>0</v>
      </c>
      <c r="N879" s="6" t="str">
        <f>IF(ISERROR(VLOOKUP($A879,'Plano de Contas'!#REF!,7)),"",VLOOKUP($A879,'Plano de Contas'!#REF!,7))</f>
        <v/>
      </c>
    </row>
    <row r="880" spans="12:14" x14ac:dyDescent="0.25">
      <c r="L880" s="1">
        <f t="shared" si="13"/>
        <v>0</v>
      </c>
      <c r="N880" s="6" t="str">
        <f>IF(ISERROR(VLOOKUP($A880,'Plano de Contas'!#REF!,7)),"",VLOOKUP($A880,'Plano de Contas'!#REF!,7))</f>
        <v/>
      </c>
    </row>
    <row r="881" spans="12:14" x14ac:dyDescent="0.25">
      <c r="L881" s="1">
        <f t="shared" si="13"/>
        <v>0</v>
      </c>
      <c r="N881" s="6" t="str">
        <f>IF(ISERROR(VLOOKUP($A881,'Plano de Contas'!#REF!,7)),"",VLOOKUP($A881,'Plano de Contas'!#REF!,7))</f>
        <v/>
      </c>
    </row>
    <row r="882" spans="12:14" x14ac:dyDescent="0.25">
      <c r="L882" s="1">
        <f t="shared" si="13"/>
        <v>0</v>
      </c>
      <c r="N882" s="6" t="str">
        <f>IF(ISERROR(VLOOKUP($A882,'Plano de Contas'!#REF!,7)),"",VLOOKUP($A882,'Plano de Contas'!#REF!,7))</f>
        <v/>
      </c>
    </row>
    <row r="883" spans="12:14" x14ac:dyDescent="0.25">
      <c r="L883" s="1">
        <f t="shared" si="13"/>
        <v>0</v>
      </c>
      <c r="N883" s="6" t="str">
        <f>IF(ISERROR(VLOOKUP($A883,'Plano de Contas'!#REF!,7)),"",VLOOKUP($A883,'Plano de Contas'!#REF!,7))</f>
        <v/>
      </c>
    </row>
    <row r="884" spans="12:14" x14ac:dyDescent="0.25">
      <c r="L884" s="1">
        <f t="shared" si="13"/>
        <v>0</v>
      </c>
      <c r="N884" s="6" t="str">
        <f>IF(ISERROR(VLOOKUP($A884,'Plano de Contas'!#REF!,7)),"",VLOOKUP($A884,'Plano de Contas'!#REF!,7))</f>
        <v/>
      </c>
    </row>
    <row r="885" spans="12:14" x14ac:dyDescent="0.25">
      <c r="L885" s="1">
        <f t="shared" si="13"/>
        <v>0</v>
      </c>
      <c r="N885" s="6" t="str">
        <f>IF(ISERROR(VLOOKUP($A885,'Plano de Contas'!#REF!,7)),"",VLOOKUP($A885,'Plano de Contas'!#REF!,7))</f>
        <v/>
      </c>
    </row>
    <row r="886" spans="12:14" x14ac:dyDescent="0.25">
      <c r="L886" s="1">
        <f t="shared" si="13"/>
        <v>0</v>
      </c>
      <c r="N886" s="6" t="str">
        <f>IF(ISERROR(VLOOKUP($A886,'Plano de Contas'!#REF!,7)),"",VLOOKUP($A886,'Plano de Contas'!#REF!,7))</f>
        <v/>
      </c>
    </row>
    <row r="887" spans="12:14" x14ac:dyDescent="0.25">
      <c r="L887" s="1">
        <f t="shared" si="13"/>
        <v>0</v>
      </c>
      <c r="N887" s="6" t="str">
        <f>IF(ISERROR(VLOOKUP($A887,'Plano de Contas'!#REF!,7)),"",VLOOKUP($A887,'Plano de Contas'!#REF!,7))</f>
        <v/>
      </c>
    </row>
    <row r="888" spans="12:14" x14ac:dyDescent="0.25">
      <c r="L888" s="1">
        <f t="shared" si="13"/>
        <v>0</v>
      </c>
      <c r="N888" s="6" t="str">
        <f>IF(ISERROR(VLOOKUP($A888,'Plano de Contas'!#REF!,7)),"",VLOOKUP($A888,'Plano de Contas'!#REF!,7))</f>
        <v/>
      </c>
    </row>
    <row r="889" spans="12:14" x14ac:dyDescent="0.25">
      <c r="L889" s="1">
        <f t="shared" si="13"/>
        <v>0</v>
      </c>
      <c r="N889" s="6" t="str">
        <f>IF(ISERROR(VLOOKUP($A889,'Plano de Contas'!#REF!,7)),"",VLOOKUP($A889,'Plano de Contas'!#REF!,7))</f>
        <v/>
      </c>
    </row>
    <row r="890" spans="12:14" x14ac:dyDescent="0.25">
      <c r="L890" s="1">
        <f t="shared" si="13"/>
        <v>0</v>
      </c>
      <c r="N890" s="6" t="str">
        <f>IF(ISERROR(VLOOKUP($A890,'Plano de Contas'!#REF!,7)),"",VLOOKUP($A890,'Plano de Contas'!#REF!,7))</f>
        <v/>
      </c>
    </row>
    <row r="891" spans="12:14" x14ac:dyDescent="0.25">
      <c r="L891" s="1">
        <f t="shared" si="13"/>
        <v>0</v>
      </c>
      <c r="N891" s="6" t="str">
        <f>IF(ISERROR(VLOOKUP($A891,'Plano de Contas'!#REF!,7)),"",VLOOKUP($A891,'Plano de Contas'!#REF!,7))</f>
        <v/>
      </c>
    </row>
    <row r="892" spans="12:14" x14ac:dyDescent="0.25">
      <c r="L892" s="1">
        <f t="shared" si="13"/>
        <v>0</v>
      </c>
      <c r="N892" s="6" t="str">
        <f>IF(ISERROR(VLOOKUP($A892,'Plano de Contas'!#REF!,7)),"",VLOOKUP($A892,'Plano de Contas'!#REF!,7))</f>
        <v/>
      </c>
    </row>
    <row r="893" spans="12:14" x14ac:dyDescent="0.25">
      <c r="L893" s="1">
        <f t="shared" si="13"/>
        <v>0</v>
      </c>
      <c r="N893" s="6" t="str">
        <f>IF(ISERROR(VLOOKUP($A893,'Plano de Contas'!#REF!,7)),"",VLOOKUP($A893,'Plano de Contas'!#REF!,7))</f>
        <v/>
      </c>
    </row>
    <row r="894" spans="12:14" x14ac:dyDescent="0.25">
      <c r="L894" s="1">
        <f t="shared" si="13"/>
        <v>0</v>
      </c>
      <c r="N894" s="6" t="str">
        <f>IF(ISERROR(VLOOKUP($A894,'Plano de Contas'!#REF!,7)),"",VLOOKUP($A894,'Plano de Contas'!#REF!,7))</f>
        <v/>
      </c>
    </row>
    <row r="895" spans="12:14" x14ac:dyDescent="0.25">
      <c r="L895" s="1">
        <f t="shared" si="13"/>
        <v>0</v>
      </c>
      <c r="N895" s="6" t="str">
        <f>IF(ISERROR(VLOOKUP($A895,'Plano de Contas'!#REF!,7)),"",VLOOKUP($A895,'Plano de Contas'!#REF!,7))</f>
        <v/>
      </c>
    </row>
    <row r="896" spans="12:14" x14ac:dyDescent="0.25">
      <c r="L896" s="1">
        <f t="shared" si="13"/>
        <v>0</v>
      </c>
      <c r="N896" s="6" t="str">
        <f>IF(ISERROR(VLOOKUP($A896,'Plano de Contas'!#REF!,7)),"",VLOOKUP($A896,'Plano de Contas'!#REF!,7))</f>
        <v/>
      </c>
    </row>
    <row r="897" spans="12:14" x14ac:dyDescent="0.25">
      <c r="L897" s="1">
        <f t="shared" si="13"/>
        <v>0</v>
      </c>
      <c r="N897" s="6" t="str">
        <f>IF(ISERROR(VLOOKUP($A897,'Plano de Contas'!#REF!,7)),"",VLOOKUP($A897,'Plano de Contas'!#REF!,7))</f>
        <v/>
      </c>
    </row>
    <row r="898" spans="12:14" x14ac:dyDescent="0.25">
      <c r="L898" s="1">
        <f t="shared" si="13"/>
        <v>0</v>
      </c>
      <c r="N898" s="6" t="str">
        <f>IF(ISERROR(VLOOKUP($A898,'Plano de Contas'!#REF!,7)),"",VLOOKUP($A898,'Plano de Contas'!#REF!,7))</f>
        <v/>
      </c>
    </row>
    <row r="899" spans="12:14" x14ac:dyDescent="0.25">
      <c r="L899" s="1">
        <f t="shared" si="13"/>
        <v>0</v>
      </c>
      <c r="N899" s="6" t="str">
        <f>IF(ISERROR(VLOOKUP($A899,'Plano de Contas'!#REF!,7)),"",VLOOKUP($A899,'Plano de Contas'!#REF!,7))</f>
        <v/>
      </c>
    </row>
    <row r="900" spans="12:14" x14ac:dyDescent="0.25">
      <c r="L900" s="1">
        <f t="shared" si="13"/>
        <v>0</v>
      </c>
      <c r="N900" s="6" t="str">
        <f>IF(ISERROR(VLOOKUP($A900,'Plano de Contas'!#REF!,7)),"",VLOOKUP($A900,'Plano de Contas'!#REF!,7))</f>
        <v/>
      </c>
    </row>
    <row r="901" spans="12:14" x14ac:dyDescent="0.25">
      <c r="L901" s="1">
        <f t="shared" si="13"/>
        <v>0</v>
      </c>
      <c r="N901" s="6" t="str">
        <f>IF(ISERROR(VLOOKUP($A901,'Plano de Contas'!#REF!,7)),"",VLOOKUP($A901,'Plano de Contas'!#REF!,7))</f>
        <v/>
      </c>
    </row>
    <row r="902" spans="12:14" x14ac:dyDescent="0.25">
      <c r="L902" s="1">
        <f t="shared" si="13"/>
        <v>0</v>
      </c>
      <c r="N902" s="6" t="str">
        <f>IF(ISERROR(VLOOKUP($A902,'Plano de Contas'!#REF!,7)),"",VLOOKUP($A902,'Plano de Contas'!#REF!,7))</f>
        <v/>
      </c>
    </row>
    <row r="903" spans="12:14" x14ac:dyDescent="0.25">
      <c r="L903" s="1">
        <f t="shared" si="13"/>
        <v>0</v>
      </c>
      <c r="N903" s="6" t="str">
        <f>IF(ISERROR(VLOOKUP($A903,'Plano de Contas'!#REF!,7)),"",VLOOKUP($A903,'Plano de Contas'!#REF!,7))</f>
        <v/>
      </c>
    </row>
    <row r="904" spans="12:14" x14ac:dyDescent="0.25">
      <c r="L904" s="1">
        <f t="shared" si="13"/>
        <v>0</v>
      </c>
      <c r="N904" s="6" t="str">
        <f>IF(ISERROR(VLOOKUP($A904,'Plano de Contas'!#REF!,7)),"",VLOOKUP($A904,'Plano de Contas'!#REF!,7))</f>
        <v/>
      </c>
    </row>
    <row r="905" spans="12:14" x14ac:dyDescent="0.25">
      <c r="L905" s="1">
        <f t="shared" si="13"/>
        <v>0</v>
      </c>
      <c r="N905" s="6" t="str">
        <f>IF(ISERROR(VLOOKUP($A905,'Plano de Contas'!#REF!,7)),"",VLOOKUP($A905,'Plano de Contas'!#REF!,7))</f>
        <v/>
      </c>
    </row>
    <row r="906" spans="12:14" x14ac:dyDescent="0.25">
      <c r="L906" s="1">
        <f t="shared" si="13"/>
        <v>0</v>
      </c>
      <c r="N906" s="6" t="str">
        <f>IF(ISERROR(VLOOKUP($A906,'Plano de Contas'!#REF!,7)),"",VLOOKUP($A906,'Plano de Contas'!#REF!,7))</f>
        <v/>
      </c>
    </row>
    <row r="907" spans="12:14" x14ac:dyDescent="0.25">
      <c r="L907" s="1">
        <f t="shared" si="13"/>
        <v>0</v>
      </c>
      <c r="N907" s="6" t="str">
        <f>IF(ISERROR(VLOOKUP($A907,'Plano de Contas'!#REF!,7)),"",VLOOKUP($A907,'Plano de Contas'!#REF!,7))</f>
        <v/>
      </c>
    </row>
    <row r="908" spans="12:14" x14ac:dyDescent="0.25">
      <c r="L908" s="1">
        <f t="shared" ref="L908:L971" si="14">IF(K908="-",-J908,J908)</f>
        <v>0</v>
      </c>
      <c r="N908" s="6" t="str">
        <f>IF(ISERROR(VLOOKUP($A908,'Plano de Contas'!#REF!,7)),"",VLOOKUP($A908,'Plano de Contas'!#REF!,7))</f>
        <v/>
      </c>
    </row>
    <row r="909" spans="12:14" x14ac:dyDescent="0.25">
      <c r="L909" s="1">
        <f t="shared" si="14"/>
        <v>0</v>
      </c>
      <c r="N909" s="6" t="str">
        <f>IF(ISERROR(VLOOKUP($A909,'Plano de Contas'!#REF!,7)),"",VLOOKUP($A909,'Plano de Contas'!#REF!,7))</f>
        <v/>
      </c>
    </row>
    <row r="910" spans="12:14" x14ac:dyDescent="0.25">
      <c r="L910" s="1">
        <f t="shared" si="14"/>
        <v>0</v>
      </c>
      <c r="N910" s="6" t="str">
        <f>IF(ISERROR(VLOOKUP($A910,'Plano de Contas'!#REF!,7)),"",VLOOKUP($A910,'Plano de Contas'!#REF!,7))</f>
        <v/>
      </c>
    </row>
    <row r="911" spans="12:14" x14ac:dyDescent="0.25">
      <c r="L911" s="1">
        <f t="shared" si="14"/>
        <v>0</v>
      </c>
      <c r="N911" s="6" t="str">
        <f>IF(ISERROR(VLOOKUP($A911,'Plano de Contas'!#REF!,7)),"",VLOOKUP($A911,'Plano de Contas'!#REF!,7))</f>
        <v/>
      </c>
    </row>
    <row r="912" spans="12:14" x14ac:dyDescent="0.25">
      <c r="L912" s="1">
        <f t="shared" si="14"/>
        <v>0</v>
      </c>
      <c r="N912" s="6" t="str">
        <f>IF(ISERROR(VLOOKUP($A912,'Plano de Contas'!#REF!,7)),"",VLOOKUP($A912,'Plano de Contas'!#REF!,7))</f>
        <v/>
      </c>
    </row>
    <row r="913" spans="12:14" x14ac:dyDescent="0.25">
      <c r="L913" s="1">
        <f t="shared" si="14"/>
        <v>0</v>
      </c>
      <c r="N913" s="6" t="str">
        <f>IF(ISERROR(VLOOKUP($A913,'Plano de Contas'!#REF!,7)),"",VLOOKUP($A913,'Plano de Contas'!#REF!,7))</f>
        <v/>
      </c>
    </row>
    <row r="914" spans="12:14" x14ac:dyDescent="0.25">
      <c r="L914" s="1">
        <f t="shared" si="14"/>
        <v>0</v>
      </c>
      <c r="N914" s="6" t="str">
        <f>IF(ISERROR(VLOOKUP($A914,'Plano de Contas'!#REF!,7)),"",VLOOKUP($A914,'Plano de Contas'!#REF!,7))</f>
        <v/>
      </c>
    </row>
    <row r="915" spans="12:14" x14ac:dyDescent="0.25">
      <c r="L915" s="1">
        <f t="shared" si="14"/>
        <v>0</v>
      </c>
      <c r="N915" s="6" t="str">
        <f>IF(ISERROR(VLOOKUP($A915,'Plano de Contas'!#REF!,7)),"",VLOOKUP($A915,'Plano de Contas'!#REF!,7))</f>
        <v/>
      </c>
    </row>
    <row r="916" spans="12:14" x14ac:dyDescent="0.25">
      <c r="L916" s="1">
        <f t="shared" si="14"/>
        <v>0</v>
      </c>
      <c r="N916" s="6" t="str">
        <f>IF(ISERROR(VLOOKUP($A916,'Plano de Contas'!#REF!,7)),"",VLOOKUP($A916,'Plano de Contas'!#REF!,7))</f>
        <v/>
      </c>
    </row>
    <row r="917" spans="12:14" x14ac:dyDescent="0.25">
      <c r="L917" s="1">
        <f t="shared" si="14"/>
        <v>0</v>
      </c>
      <c r="N917" s="6" t="str">
        <f>IF(ISERROR(VLOOKUP($A917,'Plano de Contas'!#REF!,7)),"",VLOOKUP($A917,'Plano de Contas'!#REF!,7))</f>
        <v/>
      </c>
    </row>
    <row r="918" spans="12:14" x14ac:dyDescent="0.25">
      <c r="L918" s="1">
        <f t="shared" si="14"/>
        <v>0</v>
      </c>
      <c r="N918" s="6" t="str">
        <f>IF(ISERROR(VLOOKUP($A918,'Plano de Contas'!#REF!,7)),"",VLOOKUP($A918,'Plano de Contas'!#REF!,7))</f>
        <v/>
      </c>
    </row>
    <row r="919" spans="12:14" x14ac:dyDescent="0.25">
      <c r="L919" s="1">
        <f t="shared" si="14"/>
        <v>0</v>
      </c>
      <c r="N919" s="6" t="str">
        <f>IF(ISERROR(VLOOKUP($A919,'Plano de Contas'!#REF!,7)),"",VLOOKUP($A919,'Plano de Contas'!#REF!,7))</f>
        <v/>
      </c>
    </row>
    <row r="920" spans="12:14" x14ac:dyDescent="0.25">
      <c r="L920" s="1">
        <f t="shared" si="14"/>
        <v>0</v>
      </c>
      <c r="N920" s="6" t="str">
        <f>IF(ISERROR(VLOOKUP($A920,'Plano de Contas'!#REF!,7)),"",VLOOKUP($A920,'Plano de Contas'!#REF!,7))</f>
        <v/>
      </c>
    </row>
    <row r="921" spans="12:14" x14ac:dyDescent="0.25">
      <c r="L921" s="1">
        <f t="shared" si="14"/>
        <v>0</v>
      </c>
      <c r="N921" s="6" t="str">
        <f>IF(ISERROR(VLOOKUP($A921,'Plano de Contas'!#REF!,7)),"",VLOOKUP($A921,'Plano de Contas'!#REF!,7))</f>
        <v/>
      </c>
    </row>
    <row r="922" spans="12:14" x14ac:dyDescent="0.25">
      <c r="L922" s="1">
        <f t="shared" si="14"/>
        <v>0</v>
      </c>
      <c r="N922" s="6" t="str">
        <f>IF(ISERROR(VLOOKUP($A922,'Plano de Contas'!#REF!,7)),"",VLOOKUP($A922,'Plano de Contas'!#REF!,7))</f>
        <v/>
      </c>
    </row>
    <row r="923" spans="12:14" x14ac:dyDescent="0.25">
      <c r="L923" s="1">
        <f t="shared" si="14"/>
        <v>0</v>
      </c>
      <c r="N923" s="6" t="str">
        <f>IF(ISERROR(VLOOKUP($A923,'Plano de Contas'!#REF!,7)),"",VLOOKUP($A923,'Plano de Contas'!#REF!,7))</f>
        <v/>
      </c>
    </row>
    <row r="924" spans="12:14" x14ac:dyDescent="0.25">
      <c r="L924" s="1">
        <f t="shared" si="14"/>
        <v>0</v>
      </c>
      <c r="N924" s="6" t="str">
        <f>IF(ISERROR(VLOOKUP($A924,'Plano de Contas'!#REF!,7)),"",VLOOKUP($A924,'Plano de Contas'!#REF!,7))</f>
        <v/>
      </c>
    </row>
    <row r="925" spans="12:14" x14ac:dyDescent="0.25">
      <c r="L925" s="1">
        <f t="shared" si="14"/>
        <v>0</v>
      </c>
      <c r="N925" s="6" t="str">
        <f>IF(ISERROR(VLOOKUP($A925,'Plano de Contas'!#REF!,7)),"",VLOOKUP($A925,'Plano de Contas'!#REF!,7))</f>
        <v/>
      </c>
    </row>
    <row r="926" spans="12:14" x14ac:dyDescent="0.25">
      <c r="L926" s="1">
        <f t="shared" si="14"/>
        <v>0</v>
      </c>
      <c r="N926" s="6" t="str">
        <f>IF(ISERROR(VLOOKUP($A926,'Plano de Contas'!#REF!,7)),"",VLOOKUP($A926,'Plano de Contas'!#REF!,7))</f>
        <v/>
      </c>
    </row>
    <row r="927" spans="12:14" x14ac:dyDescent="0.25">
      <c r="L927" s="1">
        <f t="shared" si="14"/>
        <v>0</v>
      </c>
      <c r="N927" s="6" t="str">
        <f>IF(ISERROR(VLOOKUP($A927,'Plano de Contas'!#REF!,7)),"",VLOOKUP($A927,'Plano de Contas'!#REF!,7))</f>
        <v/>
      </c>
    </row>
    <row r="928" spans="12:14" x14ac:dyDescent="0.25">
      <c r="L928" s="1">
        <f t="shared" si="14"/>
        <v>0</v>
      </c>
      <c r="N928" s="6" t="str">
        <f>IF(ISERROR(VLOOKUP($A928,'Plano de Contas'!#REF!,7)),"",VLOOKUP($A928,'Plano de Contas'!#REF!,7))</f>
        <v/>
      </c>
    </row>
    <row r="929" spans="12:14" x14ac:dyDescent="0.25">
      <c r="L929" s="1">
        <f t="shared" si="14"/>
        <v>0</v>
      </c>
      <c r="N929" s="6" t="str">
        <f>IF(ISERROR(VLOOKUP($A929,'Plano de Contas'!#REF!,7)),"",VLOOKUP($A929,'Plano de Contas'!#REF!,7))</f>
        <v/>
      </c>
    </row>
    <row r="930" spans="12:14" x14ac:dyDescent="0.25">
      <c r="L930" s="1">
        <f t="shared" si="14"/>
        <v>0</v>
      </c>
      <c r="N930" s="6" t="str">
        <f>IF(ISERROR(VLOOKUP($A930,'Plano de Contas'!#REF!,7)),"",VLOOKUP($A930,'Plano de Contas'!#REF!,7))</f>
        <v/>
      </c>
    </row>
    <row r="931" spans="12:14" x14ac:dyDescent="0.25">
      <c r="L931" s="1">
        <f t="shared" si="14"/>
        <v>0</v>
      </c>
      <c r="N931" s="6" t="str">
        <f>IF(ISERROR(VLOOKUP($A931,'Plano de Contas'!#REF!,7)),"",VLOOKUP($A931,'Plano de Contas'!#REF!,7))</f>
        <v/>
      </c>
    </row>
    <row r="932" spans="12:14" x14ac:dyDescent="0.25">
      <c r="L932" s="1">
        <f t="shared" si="14"/>
        <v>0</v>
      </c>
      <c r="N932" s="6" t="str">
        <f>IF(ISERROR(VLOOKUP($A932,'Plano de Contas'!#REF!,7)),"",VLOOKUP($A932,'Plano de Contas'!#REF!,7))</f>
        <v/>
      </c>
    </row>
    <row r="933" spans="12:14" x14ac:dyDescent="0.25">
      <c r="L933" s="1">
        <f t="shared" si="14"/>
        <v>0</v>
      </c>
      <c r="N933" s="6" t="str">
        <f>IF(ISERROR(VLOOKUP($A933,'Plano de Contas'!#REF!,7)),"",VLOOKUP($A933,'Plano de Contas'!#REF!,7))</f>
        <v/>
      </c>
    </row>
    <row r="934" spans="12:14" x14ac:dyDescent="0.25">
      <c r="L934" s="1">
        <f t="shared" si="14"/>
        <v>0</v>
      </c>
      <c r="N934" s="6" t="str">
        <f>IF(ISERROR(VLOOKUP($A934,'Plano de Contas'!#REF!,7)),"",VLOOKUP($A934,'Plano de Contas'!#REF!,7))</f>
        <v/>
      </c>
    </row>
    <row r="935" spans="12:14" x14ac:dyDescent="0.25">
      <c r="L935" s="1">
        <f t="shared" si="14"/>
        <v>0</v>
      </c>
      <c r="N935" s="6" t="str">
        <f>IF(ISERROR(VLOOKUP($A935,'Plano de Contas'!#REF!,7)),"",VLOOKUP($A935,'Plano de Contas'!#REF!,7))</f>
        <v/>
      </c>
    </row>
    <row r="936" spans="12:14" x14ac:dyDescent="0.25">
      <c r="L936" s="1">
        <f t="shared" si="14"/>
        <v>0</v>
      </c>
      <c r="N936" s="6" t="str">
        <f>IF(ISERROR(VLOOKUP($A936,'Plano de Contas'!#REF!,7)),"",VLOOKUP($A936,'Plano de Contas'!#REF!,7))</f>
        <v/>
      </c>
    </row>
    <row r="937" spans="12:14" x14ac:dyDescent="0.25">
      <c r="L937" s="1">
        <f t="shared" si="14"/>
        <v>0</v>
      </c>
      <c r="N937" s="6" t="str">
        <f>IF(ISERROR(VLOOKUP($A937,'Plano de Contas'!#REF!,7)),"",VLOOKUP($A937,'Plano de Contas'!#REF!,7))</f>
        <v/>
      </c>
    </row>
    <row r="938" spans="12:14" x14ac:dyDescent="0.25">
      <c r="L938" s="1">
        <f t="shared" si="14"/>
        <v>0</v>
      </c>
      <c r="N938" s="6" t="str">
        <f>IF(ISERROR(VLOOKUP($A938,'Plano de Contas'!#REF!,7)),"",VLOOKUP($A938,'Plano de Contas'!#REF!,7))</f>
        <v/>
      </c>
    </row>
    <row r="939" spans="12:14" x14ac:dyDescent="0.25">
      <c r="L939" s="1">
        <f t="shared" si="14"/>
        <v>0</v>
      </c>
      <c r="N939" s="6" t="str">
        <f>IF(ISERROR(VLOOKUP($A939,'Plano de Contas'!#REF!,7)),"",VLOOKUP($A939,'Plano de Contas'!#REF!,7))</f>
        <v/>
      </c>
    </row>
    <row r="940" spans="12:14" x14ac:dyDescent="0.25">
      <c r="L940" s="1">
        <f t="shared" si="14"/>
        <v>0</v>
      </c>
      <c r="N940" s="6" t="str">
        <f>IF(ISERROR(VLOOKUP($A940,'Plano de Contas'!#REF!,7)),"",VLOOKUP($A940,'Plano de Contas'!#REF!,7))</f>
        <v/>
      </c>
    </row>
    <row r="941" spans="12:14" x14ac:dyDescent="0.25">
      <c r="L941" s="1">
        <f t="shared" si="14"/>
        <v>0</v>
      </c>
      <c r="N941" s="6" t="str">
        <f>IF(ISERROR(VLOOKUP($A941,'Plano de Contas'!#REF!,7)),"",VLOOKUP($A941,'Plano de Contas'!#REF!,7))</f>
        <v/>
      </c>
    </row>
    <row r="942" spans="12:14" x14ac:dyDescent="0.25">
      <c r="L942" s="1">
        <f t="shared" si="14"/>
        <v>0</v>
      </c>
      <c r="N942" s="6" t="str">
        <f>IF(ISERROR(VLOOKUP($A942,'Plano de Contas'!#REF!,7)),"",VLOOKUP($A942,'Plano de Contas'!#REF!,7))</f>
        <v/>
      </c>
    </row>
    <row r="943" spans="12:14" x14ac:dyDescent="0.25">
      <c r="L943" s="1">
        <f t="shared" si="14"/>
        <v>0</v>
      </c>
      <c r="N943" s="6" t="str">
        <f>IF(ISERROR(VLOOKUP($A943,'Plano de Contas'!#REF!,7)),"",VLOOKUP($A943,'Plano de Contas'!#REF!,7))</f>
        <v/>
      </c>
    </row>
    <row r="944" spans="12:14" x14ac:dyDescent="0.25">
      <c r="L944" s="1">
        <f t="shared" si="14"/>
        <v>0</v>
      </c>
      <c r="N944" s="6" t="str">
        <f>IF(ISERROR(VLOOKUP($A944,'Plano de Contas'!#REF!,7)),"",VLOOKUP($A944,'Plano de Contas'!#REF!,7))</f>
        <v/>
      </c>
    </row>
    <row r="945" spans="12:14" x14ac:dyDescent="0.25">
      <c r="L945" s="1">
        <f t="shared" si="14"/>
        <v>0</v>
      </c>
      <c r="N945" s="6" t="str">
        <f>IF(ISERROR(VLOOKUP($A945,'Plano de Contas'!#REF!,7)),"",VLOOKUP($A945,'Plano de Contas'!#REF!,7))</f>
        <v/>
      </c>
    </row>
    <row r="946" spans="12:14" x14ac:dyDescent="0.25">
      <c r="L946" s="1">
        <f t="shared" si="14"/>
        <v>0</v>
      </c>
      <c r="N946" s="6" t="str">
        <f>IF(ISERROR(VLOOKUP($A946,'Plano de Contas'!#REF!,7)),"",VLOOKUP($A946,'Plano de Contas'!#REF!,7))</f>
        <v/>
      </c>
    </row>
    <row r="947" spans="12:14" x14ac:dyDescent="0.25">
      <c r="L947" s="1">
        <f t="shared" si="14"/>
        <v>0</v>
      </c>
      <c r="N947" s="6" t="str">
        <f>IF(ISERROR(VLOOKUP($A947,'Plano de Contas'!#REF!,7)),"",VLOOKUP($A947,'Plano de Contas'!#REF!,7))</f>
        <v/>
      </c>
    </row>
    <row r="948" spans="12:14" x14ac:dyDescent="0.25">
      <c r="L948" s="1">
        <f t="shared" si="14"/>
        <v>0</v>
      </c>
      <c r="N948" s="6" t="str">
        <f>IF(ISERROR(VLOOKUP($A948,'Plano de Contas'!#REF!,7)),"",VLOOKUP($A948,'Plano de Contas'!#REF!,7))</f>
        <v/>
      </c>
    </row>
    <row r="949" spans="12:14" x14ac:dyDescent="0.25">
      <c r="L949" s="1">
        <f t="shared" si="14"/>
        <v>0</v>
      </c>
      <c r="N949" s="6" t="str">
        <f>IF(ISERROR(VLOOKUP($A949,'Plano de Contas'!#REF!,7)),"",VLOOKUP($A949,'Plano de Contas'!#REF!,7))</f>
        <v/>
      </c>
    </row>
    <row r="950" spans="12:14" x14ac:dyDescent="0.25">
      <c r="L950" s="1">
        <f t="shared" si="14"/>
        <v>0</v>
      </c>
      <c r="N950" s="6" t="str">
        <f>IF(ISERROR(VLOOKUP($A950,'Plano de Contas'!#REF!,7)),"",VLOOKUP($A950,'Plano de Contas'!#REF!,7))</f>
        <v/>
      </c>
    </row>
    <row r="951" spans="12:14" x14ac:dyDescent="0.25">
      <c r="L951" s="1">
        <f t="shared" si="14"/>
        <v>0</v>
      </c>
      <c r="N951" s="6" t="str">
        <f>IF(ISERROR(VLOOKUP($A951,'Plano de Contas'!#REF!,7)),"",VLOOKUP($A951,'Plano de Contas'!#REF!,7))</f>
        <v/>
      </c>
    </row>
    <row r="952" spans="12:14" x14ac:dyDescent="0.25">
      <c r="L952" s="1">
        <f t="shared" si="14"/>
        <v>0</v>
      </c>
      <c r="N952" s="6" t="str">
        <f>IF(ISERROR(VLOOKUP($A952,'Plano de Contas'!#REF!,7)),"",VLOOKUP($A952,'Plano de Contas'!#REF!,7))</f>
        <v/>
      </c>
    </row>
    <row r="953" spans="12:14" x14ac:dyDescent="0.25">
      <c r="L953" s="1">
        <f t="shared" si="14"/>
        <v>0</v>
      </c>
      <c r="N953" s="6" t="str">
        <f>IF(ISERROR(VLOOKUP($A953,'Plano de Contas'!#REF!,7)),"",VLOOKUP($A953,'Plano de Contas'!#REF!,7))</f>
        <v/>
      </c>
    </row>
    <row r="954" spans="12:14" x14ac:dyDescent="0.25">
      <c r="L954" s="1">
        <f t="shared" si="14"/>
        <v>0</v>
      </c>
      <c r="N954" s="6" t="str">
        <f>IF(ISERROR(VLOOKUP($A954,'Plano de Contas'!#REF!,7)),"",VLOOKUP($A954,'Plano de Contas'!#REF!,7))</f>
        <v/>
      </c>
    </row>
    <row r="955" spans="12:14" x14ac:dyDescent="0.25">
      <c r="L955" s="1">
        <f t="shared" si="14"/>
        <v>0</v>
      </c>
      <c r="N955" s="6" t="str">
        <f>IF(ISERROR(VLOOKUP($A955,'Plano de Contas'!#REF!,7)),"",VLOOKUP($A955,'Plano de Contas'!#REF!,7))</f>
        <v/>
      </c>
    </row>
    <row r="956" spans="12:14" x14ac:dyDescent="0.25">
      <c r="L956" s="1">
        <f t="shared" si="14"/>
        <v>0</v>
      </c>
      <c r="N956" s="6" t="str">
        <f>IF(ISERROR(VLOOKUP($A956,'Plano de Contas'!#REF!,7)),"",VLOOKUP($A956,'Plano de Contas'!#REF!,7))</f>
        <v/>
      </c>
    </row>
    <row r="957" spans="12:14" x14ac:dyDescent="0.25">
      <c r="L957" s="1">
        <f t="shared" si="14"/>
        <v>0</v>
      </c>
      <c r="N957" s="6" t="str">
        <f>IF(ISERROR(VLOOKUP($A957,'Plano de Contas'!#REF!,7)),"",VLOOKUP($A957,'Plano de Contas'!#REF!,7))</f>
        <v/>
      </c>
    </row>
    <row r="958" spans="12:14" x14ac:dyDescent="0.25">
      <c r="L958" s="1">
        <f t="shared" si="14"/>
        <v>0</v>
      </c>
      <c r="N958" s="6" t="str">
        <f>IF(ISERROR(VLOOKUP($A958,'Plano de Contas'!#REF!,7)),"",VLOOKUP($A958,'Plano de Contas'!#REF!,7))</f>
        <v/>
      </c>
    </row>
    <row r="959" spans="12:14" x14ac:dyDescent="0.25">
      <c r="L959" s="1">
        <f t="shared" si="14"/>
        <v>0</v>
      </c>
      <c r="N959" s="6" t="str">
        <f>IF(ISERROR(VLOOKUP($A959,'Plano de Contas'!#REF!,7)),"",VLOOKUP($A959,'Plano de Contas'!#REF!,7))</f>
        <v/>
      </c>
    </row>
    <row r="960" spans="12:14" x14ac:dyDescent="0.25">
      <c r="L960" s="1">
        <f t="shared" si="14"/>
        <v>0</v>
      </c>
      <c r="N960" s="6" t="str">
        <f>IF(ISERROR(VLOOKUP($A960,'Plano de Contas'!#REF!,7)),"",VLOOKUP($A960,'Plano de Contas'!#REF!,7))</f>
        <v/>
      </c>
    </row>
    <row r="961" spans="12:14" x14ac:dyDescent="0.25">
      <c r="L961" s="1">
        <f t="shared" si="14"/>
        <v>0</v>
      </c>
      <c r="N961" s="6" t="str">
        <f>IF(ISERROR(VLOOKUP($A961,'Plano de Contas'!#REF!,7)),"",VLOOKUP($A961,'Plano de Contas'!#REF!,7))</f>
        <v/>
      </c>
    </row>
    <row r="962" spans="12:14" x14ac:dyDescent="0.25">
      <c r="L962" s="1">
        <f t="shared" si="14"/>
        <v>0</v>
      </c>
      <c r="N962" s="6" t="str">
        <f>IF(ISERROR(VLOOKUP($A962,'Plano de Contas'!#REF!,7)),"",VLOOKUP($A962,'Plano de Contas'!#REF!,7))</f>
        <v/>
      </c>
    </row>
    <row r="963" spans="12:14" x14ac:dyDescent="0.25">
      <c r="L963" s="1">
        <f t="shared" si="14"/>
        <v>0</v>
      </c>
      <c r="N963" s="6" t="str">
        <f>IF(ISERROR(VLOOKUP($A963,'Plano de Contas'!#REF!,7)),"",VLOOKUP($A963,'Plano de Contas'!#REF!,7))</f>
        <v/>
      </c>
    </row>
    <row r="964" spans="12:14" x14ac:dyDescent="0.25">
      <c r="L964" s="1">
        <f t="shared" si="14"/>
        <v>0</v>
      </c>
      <c r="N964" s="6" t="str">
        <f>IF(ISERROR(VLOOKUP($A964,'Plano de Contas'!#REF!,7)),"",VLOOKUP($A964,'Plano de Contas'!#REF!,7))</f>
        <v/>
      </c>
    </row>
    <row r="965" spans="12:14" x14ac:dyDescent="0.25">
      <c r="L965" s="1">
        <f t="shared" si="14"/>
        <v>0</v>
      </c>
      <c r="N965" s="6" t="str">
        <f>IF(ISERROR(VLOOKUP($A965,'Plano de Contas'!#REF!,7)),"",VLOOKUP($A965,'Plano de Contas'!#REF!,7))</f>
        <v/>
      </c>
    </row>
    <row r="966" spans="12:14" x14ac:dyDescent="0.25">
      <c r="L966" s="1">
        <f t="shared" si="14"/>
        <v>0</v>
      </c>
      <c r="N966" s="6" t="str">
        <f>IF(ISERROR(VLOOKUP($A966,'Plano de Contas'!#REF!,7)),"",VLOOKUP($A966,'Plano de Contas'!#REF!,7))</f>
        <v/>
      </c>
    </row>
    <row r="967" spans="12:14" x14ac:dyDescent="0.25">
      <c r="L967" s="1">
        <f t="shared" si="14"/>
        <v>0</v>
      </c>
      <c r="N967" s="6" t="str">
        <f>IF(ISERROR(VLOOKUP($A967,'Plano de Contas'!#REF!,7)),"",VLOOKUP($A967,'Plano de Contas'!#REF!,7))</f>
        <v/>
      </c>
    </row>
    <row r="968" spans="12:14" x14ac:dyDescent="0.25">
      <c r="L968" s="1">
        <f t="shared" si="14"/>
        <v>0</v>
      </c>
      <c r="N968" s="6" t="str">
        <f>IF(ISERROR(VLOOKUP($A968,'Plano de Contas'!#REF!,7)),"",VLOOKUP($A968,'Plano de Contas'!#REF!,7))</f>
        <v/>
      </c>
    </row>
    <row r="969" spans="12:14" x14ac:dyDescent="0.25">
      <c r="L969" s="1">
        <f t="shared" si="14"/>
        <v>0</v>
      </c>
      <c r="N969" s="6" t="str">
        <f>IF(ISERROR(VLOOKUP($A969,'Plano de Contas'!#REF!,7)),"",VLOOKUP($A969,'Plano de Contas'!#REF!,7))</f>
        <v/>
      </c>
    </row>
    <row r="970" spans="12:14" x14ac:dyDescent="0.25">
      <c r="L970" s="1">
        <f t="shared" si="14"/>
        <v>0</v>
      </c>
      <c r="N970" s="6" t="str">
        <f>IF(ISERROR(VLOOKUP($A970,'Plano de Contas'!#REF!,7)),"",VLOOKUP($A970,'Plano de Contas'!#REF!,7))</f>
        <v/>
      </c>
    </row>
    <row r="971" spans="12:14" x14ac:dyDescent="0.25">
      <c r="L971" s="1">
        <f t="shared" si="14"/>
        <v>0</v>
      </c>
      <c r="N971" s="6" t="str">
        <f>IF(ISERROR(VLOOKUP($A971,'Plano de Contas'!#REF!,7)),"",VLOOKUP($A971,'Plano de Contas'!#REF!,7))</f>
        <v/>
      </c>
    </row>
    <row r="972" spans="12:14" x14ac:dyDescent="0.25">
      <c r="L972" s="1">
        <f t="shared" ref="L972:L1004" si="15">IF(K972="-",-J972,J972)</f>
        <v>0</v>
      </c>
      <c r="N972" s="6" t="str">
        <f>IF(ISERROR(VLOOKUP($A972,'Plano de Contas'!#REF!,7)),"",VLOOKUP($A972,'Plano de Contas'!#REF!,7))</f>
        <v/>
      </c>
    </row>
    <row r="973" spans="12:14" x14ac:dyDescent="0.25">
      <c r="L973" s="1">
        <f t="shared" si="15"/>
        <v>0</v>
      </c>
      <c r="N973" s="6" t="str">
        <f>IF(ISERROR(VLOOKUP($A973,'Plano de Contas'!#REF!,7)),"",VLOOKUP($A973,'Plano de Contas'!#REF!,7))</f>
        <v/>
      </c>
    </row>
    <row r="974" spans="12:14" x14ac:dyDescent="0.25">
      <c r="L974" s="1">
        <f t="shared" si="15"/>
        <v>0</v>
      </c>
      <c r="N974" s="6" t="str">
        <f>IF(ISERROR(VLOOKUP($A974,'Plano de Contas'!#REF!,7)),"",VLOOKUP($A974,'Plano de Contas'!#REF!,7))</f>
        <v/>
      </c>
    </row>
    <row r="975" spans="12:14" x14ac:dyDescent="0.25">
      <c r="L975" s="1">
        <f t="shared" si="15"/>
        <v>0</v>
      </c>
      <c r="N975" s="6" t="str">
        <f>IF(ISERROR(VLOOKUP($A975,'Plano de Contas'!#REF!,7)),"",VLOOKUP($A975,'Plano de Contas'!#REF!,7))</f>
        <v/>
      </c>
    </row>
    <row r="976" spans="12:14" x14ac:dyDescent="0.25">
      <c r="L976" s="1">
        <f t="shared" si="15"/>
        <v>0</v>
      </c>
      <c r="N976" s="6" t="str">
        <f>IF(ISERROR(VLOOKUP($A976,'Plano de Contas'!#REF!,7)),"",VLOOKUP($A976,'Plano de Contas'!#REF!,7))</f>
        <v/>
      </c>
    </row>
    <row r="977" spans="12:14" x14ac:dyDescent="0.25">
      <c r="L977" s="1">
        <f t="shared" si="15"/>
        <v>0</v>
      </c>
      <c r="N977" s="6" t="str">
        <f>IF(ISERROR(VLOOKUP($A977,'Plano de Contas'!#REF!,7)),"",VLOOKUP($A977,'Plano de Contas'!#REF!,7))</f>
        <v/>
      </c>
    </row>
    <row r="978" spans="12:14" x14ac:dyDescent="0.25">
      <c r="L978" s="1">
        <f t="shared" si="15"/>
        <v>0</v>
      </c>
      <c r="N978" s="6" t="str">
        <f>IF(ISERROR(VLOOKUP($A978,'Plano de Contas'!#REF!,7)),"",VLOOKUP($A978,'Plano de Contas'!#REF!,7))</f>
        <v/>
      </c>
    </row>
    <row r="979" spans="12:14" x14ac:dyDescent="0.25">
      <c r="L979" s="1">
        <f t="shared" si="15"/>
        <v>0</v>
      </c>
      <c r="N979" s="6" t="str">
        <f>IF(ISERROR(VLOOKUP($A979,'Plano de Contas'!#REF!,7)),"",VLOOKUP($A979,'Plano de Contas'!#REF!,7))</f>
        <v/>
      </c>
    </row>
    <row r="980" spans="12:14" x14ac:dyDescent="0.25">
      <c r="L980" s="1">
        <f t="shared" si="15"/>
        <v>0</v>
      </c>
      <c r="N980" s="6" t="str">
        <f>IF(ISERROR(VLOOKUP($A980,'Plano de Contas'!#REF!,7)),"",VLOOKUP($A980,'Plano de Contas'!#REF!,7))</f>
        <v/>
      </c>
    </row>
    <row r="981" spans="12:14" x14ac:dyDescent="0.25">
      <c r="L981" s="1">
        <f t="shared" si="15"/>
        <v>0</v>
      </c>
      <c r="N981" s="6" t="str">
        <f>IF(ISERROR(VLOOKUP($A981,'Plano de Contas'!#REF!,7)),"",VLOOKUP($A981,'Plano de Contas'!#REF!,7))</f>
        <v/>
      </c>
    </row>
    <row r="982" spans="12:14" x14ac:dyDescent="0.25">
      <c r="L982" s="1">
        <f t="shared" si="15"/>
        <v>0</v>
      </c>
      <c r="N982" s="6" t="str">
        <f>IF(ISERROR(VLOOKUP($A982,'Plano de Contas'!#REF!,7)),"",VLOOKUP($A982,'Plano de Contas'!#REF!,7))</f>
        <v/>
      </c>
    </row>
    <row r="983" spans="12:14" x14ac:dyDescent="0.25">
      <c r="L983" s="1">
        <f t="shared" si="15"/>
        <v>0</v>
      </c>
      <c r="N983" s="6" t="str">
        <f>IF(ISERROR(VLOOKUP($A983,'Plano de Contas'!#REF!,7)),"",VLOOKUP($A983,'Plano de Contas'!#REF!,7))</f>
        <v/>
      </c>
    </row>
    <row r="984" spans="12:14" x14ac:dyDescent="0.25">
      <c r="L984" s="1">
        <f t="shared" si="15"/>
        <v>0</v>
      </c>
      <c r="N984" s="6" t="str">
        <f>IF(ISERROR(VLOOKUP($A984,'Plano de Contas'!#REF!,7)),"",VLOOKUP($A984,'Plano de Contas'!#REF!,7))</f>
        <v/>
      </c>
    </row>
    <row r="985" spans="12:14" x14ac:dyDescent="0.25">
      <c r="L985" s="1">
        <f t="shared" si="15"/>
        <v>0</v>
      </c>
      <c r="N985" s="6" t="str">
        <f>IF(ISERROR(VLOOKUP($A985,'Plano de Contas'!#REF!,7)),"",VLOOKUP($A985,'Plano de Contas'!#REF!,7))</f>
        <v/>
      </c>
    </row>
    <row r="986" spans="12:14" x14ac:dyDescent="0.25">
      <c r="L986" s="1">
        <f t="shared" si="15"/>
        <v>0</v>
      </c>
      <c r="N986" s="6" t="str">
        <f>IF(ISERROR(VLOOKUP($A986,'Plano de Contas'!#REF!,7)),"",VLOOKUP($A986,'Plano de Contas'!#REF!,7))</f>
        <v/>
      </c>
    </row>
    <row r="987" spans="12:14" x14ac:dyDescent="0.25">
      <c r="L987" s="1">
        <f t="shared" si="15"/>
        <v>0</v>
      </c>
      <c r="N987" s="6" t="str">
        <f>IF(ISERROR(VLOOKUP($A987,'Plano de Contas'!#REF!,7)),"",VLOOKUP($A987,'Plano de Contas'!#REF!,7))</f>
        <v/>
      </c>
    </row>
    <row r="988" spans="12:14" x14ac:dyDescent="0.25">
      <c r="L988" s="1">
        <f t="shared" si="15"/>
        <v>0</v>
      </c>
      <c r="N988" s="6" t="str">
        <f>IF(ISERROR(VLOOKUP($A988,'Plano de Contas'!#REF!,7)),"",VLOOKUP($A988,'Plano de Contas'!#REF!,7))</f>
        <v/>
      </c>
    </row>
    <row r="989" spans="12:14" x14ac:dyDescent="0.25">
      <c r="L989" s="1">
        <f t="shared" si="15"/>
        <v>0</v>
      </c>
      <c r="N989" s="6" t="str">
        <f>IF(ISERROR(VLOOKUP($A989,'Plano de Contas'!#REF!,7)),"",VLOOKUP($A989,'Plano de Contas'!#REF!,7))</f>
        <v/>
      </c>
    </row>
    <row r="990" spans="12:14" x14ac:dyDescent="0.25">
      <c r="L990" s="1">
        <f t="shared" si="15"/>
        <v>0</v>
      </c>
      <c r="N990" s="6" t="str">
        <f>IF(ISERROR(VLOOKUP($A990,'Plano de Contas'!#REF!,7)),"",VLOOKUP($A990,'Plano de Contas'!#REF!,7))</f>
        <v/>
      </c>
    </row>
    <row r="991" spans="12:14" x14ac:dyDescent="0.25">
      <c r="L991" s="1">
        <f t="shared" si="15"/>
        <v>0</v>
      </c>
      <c r="N991" s="6" t="str">
        <f>IF(ISERROR(VLOOKUP($A991,'Plano de Contas'!#REF!,7)),"",VLOOKUP($A991,'Plano de Contas'!#REF!,7))</f>
        <v/>
      </c>
    </row>
    <row r="992" spans="12:14" x14ac:dyDescent="0.25">
      <c r="L992" s="1">
        <f t="shared" si="15"/>
        <v>0</v>
      </c>
      <c r="N992" s="6" t="str">
        <f>IF(ISERROR(VLOOKUP($A992,'Plano de Contas'!#REF!,7)),"",VLOOKUP($A992,'Plano de Contas'!#REF!,7))</f>
        <v/>
      </c>
    </row>
    <row r="993" spans="12:14" x14ac:dyDescent="0.25">
      <c r="L993" s="1">
        <f t="shared" si="15"/>
        <v>0</v>
      </c>
      <c r="N993" s="6" t="str">
        <f>IF(ISERROR(VLOOKUP($A993,'Plano de Contas'!#REF!,7)),"",VLOOKUP($A993,'Plano de Contas'!#REF!,7))</f>
        <v/>
      </c>
    </row>
    <row r="994" spans="12:14" x14ac:dyDescent="0.25">
      <c r="L994" s="1">
        <f t="shared" si="15"/>
        <v>0</v>
      </c>
      <c r="N994" s="6" t="str">
        <f>IF(ISERROR(VLOOKUP($A994,'Plano de Contas'!#REF!,7)),"",VLOOKUP($A994,'Plano de Contas'!#REF!,7))</f>
        <v/>
      </c>
    </row>
    <row r="995" spans="12:14" x14ac:dyDescent="0.25">
      <c r="L995" s="1">
        <f t="shared" si="15"/>
        <v>0</v>
      </c>
      <c r="N995" s="6" t="str">
        <f>IF(ISERROR(VLOOKUP($A995,'Plano de Contas'!#REF!,7)),"",VLOOKUP($A995,'Plano de Contas'!#REF!,7))</f>
        <v/>
      </c>
    </row>
    <row r="996" spans="12:14" x14ac:dyDescent="0.25">
      <c r="L996" s="1">
        <f t="shared" si="15"/>
        <v>0</v>
      </c>
      <c r="N996" s="6" t="str">
        <f>IF(ISERROR(VLOOKUP($A996,'Plano de Contas'!#REF!,7)),"",VLOOKUP($A996,'Plano de Contas'!#REF!,7))</f>
        <v/>
      </c>
    </row>
    <row r="997" spans="12:14" x14ac:dyDescent="0.25">
      <c r="L997" s="1">
        <f t="shared" si="15"/>
        <v>0</v>
      </c>
      <c r="N997" s="6" t="str">
        <f>IF(ISERROR(VLOOKUP($A997,'Plano de Contas'!#REF!,7)),"",VLOOKUP($A997,'Plano de Contas'!#REF!,7))</f>
        <v/>
      </c>
    </row>
    <row r="998" spans="12:14" x14ac:dyDescent="0.25">
      <c r="L998" s="1">
        <f t="shared" si="15"/>
        <v>0</v>
      </c>
      <c r="N998" s="6" t="str">
        <f>IF(ISERROR(VLOOKUP($A998,'Plano de Contas'!#REF!,7)),"",VLOOKUP($A998,'Plano de Contas'!#REF!,7))</f>
        <v/>
      </c>
    </row>
    <row r="999" spans="12:14" x14ac:dyDescent="0.25">
      <c r="L999" s="1">
        <f t="shared" si="15"/>
        <v>0</v>
      </c>
      <c r="N999" s="6" t="str">
        <f>IF(ISERROR(VLOOKUP($A999,'Plano de Contas'!#REF!,7)),"",VLOOKUP($A999,'Plano de Contas'!#REF!,7))</f>
        <v/>
      </c>
    </row>
    <row r="1000" spans="12:14" x14ac:dyDescent="0.25">
      <c r="L1000" s="1">
        <f t="shared" si="15"/>
        <v>0</v>
      </c>
      <c r="N1000" s="6" t="str">
        <f>IF(ISERROR(VLOOKUP($A1000,'Plano de Contas'!#REF!,7)),"",VLOOKUP($A1000,'Plano de Contas'!#REF!,7))</f>
        <v/>
      </c>
    </row>
    <row r="1001" spans="12:14" x14ac:dyDescent="0.25">
      <c r="L1001" s="1">
        <f t="shared" si="15"/>
        <v>0</v>
      </c>
      <c r="N1001" s="6" t="str">
        <f>IF(ISERROR(VLOOKUP($A1001,'Plano de Contas'!#REF!,7)),"",VLOOKUP($A1001,'Plano de Contas'!#REF!,7))</f>
        <v/>
      </c>
    </row>
    <row r="1002" spans="12:14" x14ac:dyDescent="0.25">
      <c r="L1002" s="1">
        <f t="shared" si="15"/>
        <v>0</v>
      </c>
      <c r="N1002" s="6" t="str">
        <f>IF(ISERROR(VLOOKUP($A1002,'Plano de Contas'!#REF!,7)),"",VLOOKUP($A1002,'Plano de Contas'!#REF!,7))</f>
        <v/>
      </c>
    </row>
    <row r="1003" spans="12:14" x14ac:dyDescent="0.25">
      <c r="L1003" s="1">
        <f t="shared" si="15"/>
        <v>0</v>
      </c>
      <c r="N1003" s="6" t="str">
        <f>IF(ISERROR(VLOOKUP($A1003,'Plano de Contas'!#REF!,7)),"",VLOOKUP($A1003,'Plano de Contas'!#REF!,7))</f>
        <v/>
      </c>
    </row>
    <row r="1004" spans="12:14" x14ac:dyDescent="0.25">
      <c r="L1004" s="1">
        <f t="shared" si="15"/>
        <v>0</v>
      </c>
      <c r="N1004" s="6" t="str">
        <f>IF(ISERROR(VLOOKUP($A1004,'Plano de Contas'!#REF!,7)),"",VLOOKUP($A1004,'Plano de Contas'!#REF!,7))</f>
        <v/>
      </c>
    </row>
  </sheetData>
  <autoFilter ref="A4:P588" xr:uid="{00000000-0009-0000-0000-000003000000}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K53"/>
  <sheetViews>
    <sheetView topLeftCell="A82" workbookViewId="0">
      <selection activeCell="A82" sqref="A82"/>
    </sheetView>
  </sheetViews>
  <sheetFormatPr defaultRowHeight="15" x14ac:dyDescent="0.25"/>
  <cols>
    <col min="2" max="2" width="31.85546875" style="65" bestFit="1" customWidth="1"/>
    <col min="3" max="3" width="9.7109375" bestFit="1" customWidth="1"/>
    <col min="4" max="4" width="2.42578125" customWidth="1"/>
    <col min="5" max="5" width="11.28515625" style="2" bestFit="1" customWidth="1"/>
    <col min="6" max="6" width="1.7109375" bestFit="1" customWidth="1"/>
    <col min="7" max="7" width="8.42578125" bestFit="1" customWidth="1"/>
    <col min="8" max="8" width="1.7109375" bestFit="1" customWidth="1"/>
    <col min="9" max="9" width="9" bestFit="1" customWidth="1"/>
    <col min="11" max="11" width="10.85546875" bestFit="1" customWidth="1"/>
  </cols>
  <sheetData>
    <row r="3" spans="2:11" x14ac:dyDescent="0.25">
      <c r="B3" s="149" t="s">
        <v>1088</v>
      </c>
      <c r="C3" s="66">
        <f>'Balancete Dez-2014'!J176/1000</f>
        <v>63824.263189999998</v>
      </c>
      <c r="D3" s="67"/>
      <c r="E3" s="76">
        <f>'Balancete Dez-2014'!J257/1000</f>
        <v>1621072.05259</v>
      </c>
      <c r="F3" s="68"/>
      <c r="G3" s="67"/>
      <c r="H3" s="67"/>
      <c r="I3" s="66">
        <f>C3+E3-G3</f>
        <v>1684896.3157800001</v>
      </c>
      <c r="J3" s="67"/>
      <c r="K3" s="66">
        <f>'Balancete Dez-2013'!J172/1000</f>
        <v>55276.473829999995</v>
      </c>
    </row>
    <row r="4" spans="2:11" x14ac:dyDescent="0.25">
      <c r="B4" s="149" t="s">
        <v>1089</v>
      </c>
      <c r="C4" s="66">
        <f>'Balancete Dez-2014'!J210/1000</f>
        <v>960268.08172999998</v>
      </c>
      <c r="D4" s="67"/>
      <c r="E4" s="76">
        <f>'Balancete Dez-2014'!J268/1000</f>
        <v>523702.72262000002</v>
      </c>
      <c r="F4" s="68"/>
      <c r="G4" s="67"/>
      <c r="H4" s="67"/>
      <c r="I4" s="66">
        <f t="shared" ref="I4:I11" si="0">C4+E4-G4</f>
        <v>1483970.8043499999</v>
      </c>
      <c r="J4" s="67"/>
      <c r="K4" s="66">
        <f>('Balancete Dez-2013'!J180+'Balancete Dez-2013'!J181+'Balancete Dez-2013'!J183+'Balancete Dez-2013'!J184+'Balancete Dez-2013'!J186+'Balancete Dez-2013'!J187+'Balancete Dez-2013'!J188+'Balancete Dez-2013'!J198)/1000</f>
        <v>622587.73970999999</v>
      </c>
    </row>
    <row r="5" spans="2:11" x14ac:dyDescent="0.25">
      <c r="B5" s="149" t="s">
        <v>1090</v>
      </c>
      <c r="C5" s="66">
        <f>('Balancete Dez-2014'!J177+'Balancete Dez-2014'!J178+'Balancete Dez-2014'!J186+'Balancete Dez-2014'!J188+'Balancete Dez-2014'!J192+'Balancete Dez-2014'!J194+'Balancete Dez-2014'!J196+'Balancete Dez-2014'!J197+'Balancete Dez-2014'!J199+'Balancete Dez-2014'!J200+'Balancete Dez-2014'!J204+'Balancete Dez-2014'!J205+'Balancete Dez-2014'!J206+'Balancete Dez-2014'!J207+'Balancete Dez-2014'!J208)/1000+'Balancete Dez-2014'!J214/1000+'Balancete Dez-2014'!J215/1000</f>
        <v>324463.00357000006</v>
      </c>
      <c r="D5" s="67"/>
      <c r="E5" s="76">
        <f>'Balancete Dez-2014'!J258/1000+SUM('Balancete Dez-2014'!J259:J267)/1000</f>
        <v>28036.704029999997</v>
      </c>
      <c r="F5" s="67"/>
      <c r="G5" s="66">
        <f>SUM('Balancete Dez-2014'!J238,'Balancete Dez-2014'!J239,'Balancete Dez-2014'!J249,'Balancete Dez-2014'!J250)/1000</f>
        <v>118013.43925</v>
      </c>
      <c r="H5" s="67"/>
      <c r="I5" s="66">
        <f t="shared" si="0"/>
        <v>234486.26835000009</v>
      </c>
      <c r="J5" s="67"/>
      <c r="K5" s="66">
        <v>193744</v>
      </c>
    </row>
    <row r="6" spans="2:11" x14ac:dyDescent="0.25">
      <c r="B6" s="149" t="s">
        <v>1091</v>
      </c>
      <c r="C6" s="66">
        <f>'Balancete Dez-2014'!J179/1000</f>
        <v>504.80115000000001</v>
      </c>
      <c r="D6" s="67"/>
      <c r="E6" s="76"/>
      <c r="F6" s="67"/>
      <c r="G6" s="66">
        <f>SUM('Balancete Dez-2014'!J240)/1000</f>
        <v>303.60194999999999</v>
      </c>
      <c r="H6" s="67"/>
      <c r="I6" s="66">
        <f t="shared" si="0"/>
        <v>201.19920000000002</v>
      </c>
      <c r="J6" s="67"/>
      <c r="K6" s="66">
        <f>('Balancete Dez-2013'!J175+'Balancete Dez-2013'!J210-'Balancete Dez-2013'!J234-'Balancete Dez-2013'!J245)/1000</f>
        <v>575.7721800000005</v>
      </c>
    </row>
    <row r="7" spans="2:11" x14ac:dyDescent="0.25">
      <c r="B7" s="149" t="s">
        <v>1092</v>
      </c>
      <c r="C7" s="75">
        <f>'Balancete Dez-2014'!J180/1000</f>
        <v>295.68671000000001</v>
      </c>
      <c r="D7" s="67"/>
      <c r="E7" s="76"/>
      <c r="F7" s="67"/>
      <c r="G7" s="75">
        <f>'Balancete Dez-2014'!J241/1000</f>
        <v>295.68671000000001</v>
      </c>
      <c r="H7" s="67"/>
      <c r="I7" s="66">
        <f t="shared" si="0"/>
        <v>0</v>
      </c>
      <c r="J7" s="67"/>
      <c r="K7" s="75">
        <f>('Balancete Dez-2013'!J176+'Balancete Dez-2013'!J211-'Balancete Dez-2013'!J235+'Balancete Dez-2013'!J246)/1000</f>
        <v>0.65718000000008037</v>
      </c>
    </row>
    <row r="8" spans="2:11" x14ac:dyDescent="0.25">
      <c r="B8" s="149" t="s">
        <v>1093</v>
      </c>
      <c r="C8" s="66">
        <f>'Balancete Dez-2014'!J181/1000+'Balancete Dez-2014'!J218/1000</f>
        <v>6623.5359300000009</v>
      </c>
      <c r="D8" s="67"/>
      <c r="E8" s="76"/>
      <c r="F8" s="67"/>
      <c r="G8" s="66">
        <f>SUM('Balancete Dez-2014'!J242,'Balancete Dez-2014'!J253)/1000</f>
        <v>4350.3338900000008</v>
      </c>
      <c r="H8" s="67"/>
      <c r="I8" s="66">
        <f t="shared" si="0"/>
        <v>2273.2020400000001</v>
      </c>
      <c r="J8" s="67"/>
      <c r="K8" s="66">
        <f>('Balancete Dez-2013'!J177+'Balancete Dez-2013'!J212+'Balancete Dez-2013'!J236-'Balancete Dez-2013'!J247)/1000</f>
        <v>2619.7189200000007</v>
      </c>
    </row>
    <row r="9" spans="2:11" x14ac:dyDescent="0.25">
      <c r="B9" s="149" t="s">
        <v>1094</v>
      </c>
      <c r="C9" s="66">
        <f>'Balancete Dez-2014'!J182/1000+'Balancete Dez-2014'!J219/1000</f>
        <v>1892.2263399999999</v>
      </c>
      <c r="D9" s="67"/>
      <c r="E9" s="76"/>
      <c r="F9" s="67"/>
      <c r="G9" s="66">
        <f>SUM('Balancete Dez-2014'!J254,'Balancete Dez-2014'!J243)/1000</f>
        <v>1663.6870700000002</v>
      </c>
      <c r="H9" s="67"/>
      <c r="I9" s="66">
        <f t="shared" si="0"/>
        <v>228.53926999999976</v>
      </c>
      <c r="J9" s="67"/>
      <c r="K9" s="75">
        <f>('Balancete Dez-2013'!J178+'Balancete Dez-2013'!J213-'Balancete Dez-2013'!J237-'Balancete Dez-2013'!J248)/1000</f>
        <v>278.35942999999997</v>
      </c>
    </row>
    <row r="10" spans="2:11" x14ac:dyDescent="0.25">
      <c r="B10" s="149" t="s">
        <v>1095</v>
      </c>
      <c r="C10" s="75">
        <f>'Balancete Dez-2014'!J183/1000</f>
        <v>553.84533999999996</v>
      </c>
      <c r="D10" s="67"/>
      <c r="E10" s="76"/>
      <c r="F10" s="67"/>
      <c r="G10" s="75">
        <f>SUM('Balancete Dez-2014'!J244)/1000</f>
        <v>359.96343000000002</v>
      </c>
      <c r="H10" s="67"/>
      <c r="I10" s="66">
        <f t="shared" si="0"/>
        <v>193.88190999999995</v>
      </c>
      <c r="J10" s="67"/>
      <c r="K10" s="75">
        <f>('Balancete Dez-2013'!J179+'Balancete Dez-2013'!J238)/1000</f>
        <v>262.09226999999998</v>
      </c>
    </row>
    <row r="11" spans="2:11" x14ac:dyDescent="0.25">
      <c r="B11" s="149" t="s">
        <v>1096</v>
      </c>
      <c r="C11" s="66">
        <f>'Balancete Dez-2014'!J221/1000</f>
        <v>1610597.1585200001</v>
      </c>
      <c r="D11" s="67"/>
      <c r="E11" s="76"/>
      <c r="F11" s="67"/>
      <c r="G11" s="67"/>
      <c r="H11" s="67"/>
      <c r="I11" s="66">
        <f t="shared" si="0"/>
        <v>1610597.1585200001</v>
      </c>
      <c r="J11" s="67"/>
      <c r="K11" s="66">
        <f>'Balancete Dez-2013'!J215/1000</f>
        <v>1847823.90062</v>
      </c>
    </row>
    <row r="12" spans="2:11" ht="15.75" thickBot="1" x14ac:dyDescent="0.3">
      <c r="B12" s="69"/>
      <c r="C12" s="70"/>
      <c r="D12" s="71"/>
      <c r="E12" s="77"/>
      <c r="F12" s="71"/>
      <c r="G12" s="70"/>
      <c r="H12" s="71"/>
      <c r="I12" s="70"/>
      <c r="J12" s="71"/>
      <c r="K12" s="70"/>
    </row>
    <row r="13" spans="2:11" ht="15.75" thickBot="1" x14ac:dyDescent="0.3">
      <c r="B13" s="72"/>
      <c r="C13" s="73">
        <f>SUM(C3:C12)</f>
        <v>2969022.6024799999</v>
      </c>
      <c r="D13" s="74"/>
      <c r="E13" s="78">
        <f>SUM(E3:E12)</f>
        <v>2172811.4792400002</v>
      </c>
      <c r="F13" s="74"/>
      <c r="G13" s="73">
        <f>SUM(G3:G12)</f>
        <v>124986.71229999998</v>
      </c>
      <c r="H13" s="74"/>
      <c r="I13" s="73">
        <f>SUM(I3:I12)</f>
        <v>5016847.3694199994</v>
      </c>
      <c r="J13" s="74"/>
      <c r="K13" s="73">
        <f>SUM(K3:K12)</f>
        <v>2723168.7141399998</v>
      </c>
    </row>
    <row r="14" spans="2:11" ht="15.75" thickTop="1" x14ac:dyDescent="0.25"/>
    <row r="15" spans="2:11" x14ac:dyDescent="0.25">
      <c r="K15" s="79" t="e">
        <f>K13-BP!#REF!</f>
        <v>#REF!</v>
      </c>
    </row>
    <row r="17" spans="2:9" ht="15.75" thickBot="1" x14ac:dyDescent="0.3">
      <c r="B17" s="149"/>
      <c r="C17" s="279" t="s">
        <v>1097</v>
      </c>
      <c r="D17" s="279"/>
      <c r="E17" s="279"/>
      <c r="F17" s="279"/>
      <c r="G17" s="279"/>
      <c r="H17" s="279"/>
      <c r="I17" s="279"/>
    </row>
    <row r="18" spans="2:9" ht="15.75" thickBot="1" x14ac:dyDescent="0.3">
      <c r="B18" s="149"/>
      <c r="C18" s="283" t="s">
        <v>1098</v>
      </c>
      <c r="D18" s="283"/>
      <c r="E18" s="283"/>
      <c r="F18" s="283"/>
      <c r="G18" s="283"/>
      <c r="H18" s="148"/>
      <c r="I18" s="147" t="s">
        <v>1099</v>
      </c>
    </row>
    <row r="19" spans="2:9" x14ac:dyDescent="0.25">
      <c r="B19" s="277"/>
      <c r="C19" s="278" t="s">
        <v>1100</v>
      </c>
      <c r="D19" s="278"/>
      <c r="E19" s="148" t="s">
        <v>1101</v>
      </c>
      <c r="F19" s="278"/>
      <c r="G19" s="278" t="s">
        <v>1102</v>
      </c>
      <c r="H19" s="280"/>
      <c r="I19" s="278" t="s">
        <v>1102</v>
      </c>
    </row>
    <row r="20" spans="2:9" ht="15.75" thickBot="1" x14ac:dyDescent="0.3">
      <c r="B20" s="277"/>
      <c r="C20" s="279"/>
      <c r="D20" s="280"/>
      <c r="E20" s="146" t="s">
        <v>1103</v>
      </c>
      <c r="F20" s="280"/>
      <c r="G20" s="279"/>
      <c r="H20" s="280"/>
      <c r="I20" s="279"/>
    </row>
    <row r="21" spans="2:9" x14ac:dyDescent="0.25">
      <c r="B21" s="69"/>
      <c r="C21" s="69"/>
      <c r="D21" s="69"/>
      <c r="E21" s="69"/>
      <c r="F21" s="69"/>
      <c r="G21" s="69"/>
      <c r="H21" s="69"/>
      <c r="I21" s="69"/>
    </row>
    <row r="22" spans="2:9" x14ac:dyDescent="0.25">
      <c r="B22" s="149" t="s">
        <v>1104</v>
      </c>
      <c r="C22" s="86"/>
      <c r="D22" s="86"/>
      <c r="E22" s="86"/>
      <c r="F22" s="87"/>
      <c r="G22" s="86"/>
      <c r="H22" s="86"/>
      <c r="I22" s="86"/>
    </row>
    <row r="23" spans="2:9" x14ac:dyDescent="0.25">
      <c r="B23" s="149" t="s">
        <v>1105</v>
      </c>
      <c r="C23" s="88">
        <f>('Balancete Dez-2014'!J286/1000)</f>
        <v>4338.50072</v>
      </c>
      <c r="D23" s="86" t="s">
        <v>1106</v>
      </c>
      <c r="E23" s="96">
        <f>'Balancete Dez-2014'!J302/1000</f>
        <v>15.885759999999999</v>
      </c>
      <c r="F23" s="87" t="s">
        <v>1107</v>
      </c>
      <c r="G23" s="88">
        <f>C23-E23</f>
        <v>4322.6149599999999</v>
      </c>
      <c r="H23" s="86"/>
      <c r="I23" s="88">
        <f>('Balancete Dez-2013'!J266-'Balancete Dez-2013'!J281)/1000</f>
        <v>4322.6149599999999</v>
      </c>
    </row>
    <row r="24" spans="2:9" x14ac:dyDescent="0.25">
      <c r="B24" s="149" t="s">
        <v>1108</v>
      </c>
      <c r="C24" s="88">
        <f>'Balancete Dez-2014'!J277/1000</f>
        <v>1905.4555600000001</v>
      </c>
      <c r="D24" s="86" t="s">
        <v>1106</v>
      </c>
      <c r="E24" s="96">
        <f>'Balancete Dez-2014'!J296/1000</f>
        <v>636.01254000000006</v>
      </c>
      <c r="F24" s="87" t="s">
        <v>1107</v>
      </c>
      <c r="G24" s="88">
        <f t="shared" ref="G24:G30" si="1">C24-E24</f>
        <v>1269.4430200000002</v>
      </c>
      <c r="H24" s="86"/>
      <c r="I24" s="88">
        <f>('Balancete Dez-2013'!J257-'Balancete Dez-2013'!J275)/1000</f>
        <v>1440.7211800000002</v>
      </c>
    </row>
    <row r="25" spans="2:9" ht="24" x14ac:dyDescent="0.25">
      <c r="B25" s="89" t="s">
        <v>1109</v>
      </c>
      <c r="C25" s="88">
        <f>'Balancete Dez-2014'!J276/1000</f>
        <v>1787.6587</v>
      </c>
      <c r="D25" s="86" t="s">
        <v>1106</v>
      </c>
      <c r="E25" s="96">
        <f>'Balancete Dez-2014'!J295/1000</f>
        <v>688.24876000000006</v>
      </c>
      <c r="F25" s="87" t="s">
        <v>1107</v>
      </c>
      <c r="G25" s="88">
        <f t="shared" si="1"/>
        <v>1099.40994</v>
      </c>
      <c r="H25" s="86"/>
      <c r="I25" s="88">
        <f>('Balancete Dez-2013'!J256+'Balancete Dez-2013'!J274)/1000</f>
        <v>1278.1758599999998</v>
      </c>
    </row>
    <row r="26" spans="2:9" x14ac:dyDescent="0.25">
      <c r="B26" s="149" t="s">
        <v>1110</v>
      </c>
      <c r="C26" s="86">
        <f>'Balancete Dez-2014'!J281/1000</f>
        <v>700</v>
      </c>
      <c r="D26" s="86" t="s">
        <v>1106</v>
      </c>
      <c r="E26" s="96">
        <f>'Balancete Dez-2014'!J300/1000</f>
        <v>18.666720000000002</v>
      </c>
      <c r="F26" s="87" t="s">
        <v>1107</v>
      </c>
      <c r="G26" s="88">
        <f t="shared" si="1"/>
        <v>681.33327999999995</v>
      </c>
      <c r="H26" s="86"/>
      <c r="I26" s="97">
        <f>('Balancete Dez-2013'!J261-'Balancete Dez-2013'!J279)/1000</f>
        <v>681.33328000000006</v>
      </c>
    </row>
    <row r="27" spans="2:9" x14ac:dyDescent="0.25">
      <c r="B27" s="149" t="s">
        <v>1111</v>
      </c>
      <c r="C27" s="88">
        <f>'Balancete Dez-2014'!J280/1000</f>
        <v>1244.02253</v>
      </c>
      <c r="D27" s="86" t="s">
        <v>1106</v>
      </c>
      <c r="E27" s="96">
        <f>'Balancete Dez-2014'!J299/1000</f>
        <v>7.9576000000000002</v>
      </c>
      <c r="F27" s="87" t="s">
        <v>1107</v>
      </c>
      <c r="G27" s="88">
        <f t="shared" si="1"/>
        <v>1236.06493</v>
      </c>
      <c r="H27" s="86"/>
      <c r="I27" s="88">
        <f>('Balancete Dez-2013'!J260-'Balancete Dez-2013'!J278)/1000</f>
        <v>1236.06493</v>
      </c>
    </row>
    <row r="28" spans="2:9" x14ac:dyDescent="0.25">
      <c r="B28" s="149" t="s">
        <v>1112</v>
      </c>
      <c r="C28" s="88">
        <f>'Balancete Dez-2014'!J288/1000</f>
        <v>14187.62313</v>
      </c>
      <c r="D28" s="86"/>
      <c r="E28" s="96"/>
      <c r="F28" s="87"/>
      <c r="G28" s="88">
        <f t="shared" si="1"/>
        <v>14187.62313</v>
      </c>
      <c r="H28" s="86"/>
      <c r="I28" s="86">
        <v>14188</v>
      </c>
    </row>
    <row r="29" spans="2:9" x14ac:dyDescent="0.25">
      <c r="B29" s="149" t="s">
        <v>359</v>
      </c>
      <c r="C29" s="88">
        <f>'Balancete Dez-2014'!J291/1000</f>
        <v>13837.046039999999</v>
      </c>
      <c r="D29" s="86"/>
      <c r="E29" s="96"/>
      <c r="F29" s="87"/>
      <c r="G29" s="88">
        <f t="shared" si="1"/>
        <v>13837.046039999999</v>
      </c>
      <c r="H29" s="86"/>
      <c r="I29" s="86">
        <v>0</v>
      </c>
    </row>
    <row r="30" spans="2:9" x14ac:dyDescent="0.25">
      <c r="B30" s="149" t="s">
        <v>1113</v>
      </c>
      <c r="C30" s="88">
        <f>('Balancete Dez-2014'!J273+'Balancete Dez-2014'!J274+'Balancete Dez-2014'!J275+'Balancete Dez-2014'!J278+'Balancete Dez-2014'!J279+'Balancete Dez-2014'!J282+'Balancete Dez-2014'!J283+'Balancete Dez-2014'!J284+'Balancete Dez-2014'!J285+'Balancete Dez-2014'!J287+'Balancete Dez-2014'!J289+'Balancete Dez-2014'!J290+'Balancete Dez-2014'!J292+'Balancete Dez-2014'!J305)/1000</f>
        <v>7689.439159999999</v>
      </c>
      <c r="D30" s="86" t="s">
        <v>1106</v>
      </c>
      <c r="E30" s="96">
        <f>('Balancete Dez-2014'!J301+'Balancete Dez-2014'!J298+'Balancete Dez-2014'!J297)/1000</f>
        <v>1.6291199999999999</v>
      </c>
      <c r="F30" s="87" t="s">
        <v>1107</v>
      </c>
      <c r="G30" s="88">
        <f t="shared" si="1"/>
        <v>7687.8100399999994</v>
      </c>
      <c r="H30" s="86"/>
      <c r="I30" s="88">
        <v>6633</v>
      </c>
    </row>
    <row r="31" spans="2:9" ht="15.75" thickBot="1" x14ac:dyDescent="0.3">
      <c r="B31" s="69"/>
      <c r="C31" s="90"/>
      <c r="D31" s="91"/>
      <c r="E31" s="90"/>
      <c r="F31" s="92"/>
      <c r="G31" s="90"/>
      <c r="H31" s="91"/>
      <c r="I31" s="90"/>
    </row>
    <row r="32" spans="2:9" ht="15.75" thickBot="1" x14ac:dyDescent="0.3">
      <c r="B32" s="72"/>
      <c r="C32" s="93">
        <f>SUM(C23:C31)</f>
        <v>45689.745840000003</v>
      </c>
      <c r="D32" s="94" t="s">
        <v>1106</v>
      </c>
      <c r="E32" s="93">
        <f>SUM(E23:E31)</f>
        <v>1368.4005000000002</v>
      </c>
      <c r="F32" s="95" t="s">
        <v>1107</v>
      </c>
      <c r="G32" s="93">
        <f>SUM(G23:G31)</f>
        <v>44321.345339999993</v>
      </c>
      <c r="H32" s="94"/>
      <c r="I32" s="93">
        <f>SUM(I23:I31)</f>
        <v>29779.910210000002</v>
      </c>
    </row>
    <row r="33" spans="2:9" ht="15.75" thickTop="1" x14ac:dyDescent="0.25"/>
    <row r="34" spans="2:9" x14ac:dyDescent="0.25">
      <c r="I34" s="79" t="e">
        <f>BP!#REF!-Plan1!I32</f>
        <v>#REF!</v>
      </c>
    </row>
    <row r="36" spans="2:9" ht="15.75" thickBot="1" x14ac:dyDescent="0.3">
      <c r="B36" s="156"/>
      <c r="C36" s="281" t="s">
        <v>1097</v>
      </c>
      <c r="D36" s="281"/>
      <c r="E36" s="281"/>
      <c r="F36" s="281"/>
      <c r="G36" s="281"/>
      <c r="H36" s="281"/>
      <c r="I36" s="281"/>
    </row>
    <row r="37" spans="2:9" ht="15.75" thickBot="1" x14ac:dyDescent="0.3">
      <c r="B37" s="156"/>
      <c r="C37" s="282" t="s">
        <v>1098</v>
      </c>
      <c r="D37" s="282"/>
      <c r="E37" s="282"/>
      <c r="F37" s="155"/>
      <c r="G37" s="282" t="s">
        <v>1099</v>
      </c>
      <c r="H37" s="282"/>
      <c r="I37" s="282"/>
    </row>
    <row r="38" spans="2:9" ht="36.75" thickBot="1" x14ac:dyDescent="0.3">
      <c r="B38" s="156"/>
      <c r="C38" s="144" t="s">
        <v>1114</v>
      </c>
      <c r="D38" s="155"/>
      <c r="E38" s="145" t="s">
        <v>1115</v>
      </c>
      <c r="F38" s="154"/>
      <c r="G38" s="144" t="s">
        <v>1114</v>
      </c>
      <c r="H38" s="154"/>
      <c r="I38" s="144" t="s">
        <v>1115</v>
      </c>
    </row>
    <row r="39" spans="2:9" x14ac:dyDescent="0.25">
      <c r="B39" s="80"/>
      <c r="C39" s="80"/>
      <c r="D39" s="80"/>
      <c r="E39" s="80"/>
      <c r="F39" s="80"/>
      <c r="G39" s="80"/>
      <c r="H39" s="80"/>
      <c r="I39" s="80"/>
    </row>
    <row r="40" spans="2:9" x14ac:dyDescent="0.25">
      <c r="B40" s="156" t="s">
        <v>1116</v>
      </c>
      <c r="C40" s="98">
        <f>'Balancete Dez-2014'!J327/1000</f>
        <v>1162.1596999999999</v>
      </c>
      <c r="D40" s="98"/>
      <c r="E40" s="98"/>
      <c r="F40" s="99"/>
      <c r="G40" s="98">
        <f>'Balancete Dez-2013'!J306/1000</f>
        <v>1888.6319099999998</v>
      </c>
      <c r="H40" s="98"/>
      <c r="I40" s="98"/>
    </row>
    <row r="41" spans="2:9" x14ac:dyDescent="0.25">
      <c r="B41" s="156" t="s">
        <v>1117</v>
      </c>
      <c r="C41" s="98">
        <f>'Balancete Dez-2014'!J328/1000</f>
        <v>236.90654999999998</v>
      </c>
      <c r="D41" s="98"/>
      <c r="E41" s="98"/>
      <c r="F41" s="99"/>
      <c r="G41" s="98">
        <f>'Balancete Dez-2013'!J307/1000</f>
        <v>267.59308000000004</v>
      </c>
      <c r="H41" s="98"/>
      <c r="I41" s="98"/>
    </row>
    <row r="42" spans="2:9" x14ac:dyDescent="0.25">
      <c r="B42" s="156" t="s">
        <v>929</v>
      </c>
      <c r="C42" s="98">
        <f>'Balancete Dez-2014'!J334/1000</f>
        <v>138.04258999999999</v>
      </c>
      <c r="D42" s="98"/>
      <c r="E42" s="98"/>
      <c r="F42" s="99"/>
      <c r="G42" s="98">
        <f>'Balancete Dez-2013'!J313/1000</f>
        <v>132.27396999999999</v>
      </c>
      <c r="H42" s="98"/>
      <c r="I42" s="98"/>
    </row>
    <row r="43" spans="2:9" x14ac:dyDescent="0.25">
      <c r="B43" s="156" t="s">
        <v>554</v>
      </c>
      <c r="C43" s="98">
        <f>'Balancete Dez-2014'!J335/1000</f>
        <v>635.70975999999996</v>
      </c>
      <c r="D43" s="98"/>
      <c r="E43" s="98"/>
      <c r="F43" s="99"/>
      <c r="G43" s="98">
        <f>'Balancete Dez-2013'!J314/1000</f>
        <v>609.15953999999999</v>
      </c>
      <c r="H43" s="98"/>
      <c r="I43" s="98"/>
    </row>
    <row r="44" spans="2:9" x14ac:dyDescent="0.25">
      <c r="B44" s="156" t="s">
        <v>1118</v>
      </c>
      <c r="C44" s="98">
        <f>('Balancete Dez-2014'!J331+'Balancete Dez-2014'!J332+'Balancete Dez-2014'!J333)/1000</f>
        <v>607.64502000000005</v>
      </c>
      <c r="D44" s="98"/>
      <c r="E44" s="98"/>
      <c r="F44" s="99"/>
      <c r="G44" s="98">
        <f>('Balancete Dez-2013'!J310-'Balancete Dez-2013'!J311+'Balancete Dez-2013'!J312)/1000</f>
        <v>648.43966</v>
      </c>
      <c r="H44" s="98"/>
      <c r="I44" s="98"/>
    </row>
    <row r="45" spans="2:9" x14ac:dyDescent="0.25">
      <c r="B45" s="156" t="s">
        <v>1119</v>
      </c>
      <c r="C45" s="98">
        <f>'Balancete Dez-2014'!J338/1000</f>
        <v>566.98829000000001</v>
      </c>
      <c r="D45" s="98"/>
      <c r="E45" s="98"/>
      <c r="F45" s="99"/>
      <c r="G45" s="98">
        <v>1728</v>
      </c>
      <c r="H45" s="98"/>
      <c r="I45" s="98"/>
    </row>
    <row r="46" spans="2:9" ht="24" x14ac:dyDescent="0.25">
      <c r="B46" s="156" t="s">
        <v>1120</v>
      </c>
      <c r="C46" s="98">
        <f>'Balancete Dez-2014'!J339/1000</f>
        <v>347.06011999999998</v>
      </c>
      <c r="D46" s="98"/>
      <c r="E46" s="98"/>
      <c r="F46" s="99"/>
      <c r="G46" s="98">
        <v>749</v>
      </c>
      <c r="H46" s="98"/>
      <c r="I46" s="98"/>
    </row>
    <row r="47" spans="2:9" x14ac:dyDescent="0.25">
      <c r="B47" s="156" t="s">
        <v>1121</v>
      </c>
      <c r="C47" s="98">
        <f>'Balancete Dez-2014'!J336/1000</f>
        <v>104.77461</v>
      </c>
      <c r="D47" s="98"/>
      <c r="E47" s="98"/>
      <c r="F47" s="99"/>
      <c r="G47" s="98">
        <f>-'Balancete Dez-2013'!J315/1000</f>
        <v>125.62147</v>
      </c>
      <c r="H47" s="98"/>
      <c r="I47" s="98"/>
    </row>
    <row r="48" spans="2:9" x14ac:dyDescent="0.25">
      <c r="B48" s="156" t="s">
        <v>1122</v>
      </c>
      <c r="C48" s="98">
        <f>'Balancete Dez-2014'!J337/1000</f>
        <v>1879.7388000000001</v>
      </c>
      <c r="D48" s="98"/>
      <c r="E48" s="98"/>
      <c r="F48" s="99"/>
      <c r="G48" s="98">
        <v>1692</v>
      </c>
      <c r="H48" s="98"/>
      <c r="I48" s="98"/>
    </row>
    <row r="49" spans="2:9" x14ac:dyDescent="0.25">
      <c r="B49" s="81" t="s">
        <v>1123</v>
      </c>
      <c r="C49" s="98">
        <f>'Balancete Dez-2014'!J352/1000</f>
        <v>202.24223999999998</v>
      </c>
      <c r="D49" s="98"/>
      <c r="E49" s="98"/>
      <c r="F49" s="99"/>
      <c r="G49" s="98">
        <f>('Balancete Dez-2013'!J333)/1000</f>
        <v>215.69523000000001</v>
      </c>
      <c r="H49" s="98"/>
      <c r="I49" s="98">
        <v>1</v>
      </c>
    </row>
    <row r="50" spans="2:9" x14ac:dyDescent="0.25">
      <c r="B50" s="156" t="s">
        <v>1124</v>
      </c>
      <c r="C50" s="98">
        <f>('Balancete Dez-2014'!J341+'Balancete Dez-2014'!J340+'Balancete Dez-2014'!J319)/1000</f>
        <v>378.97062</v>
      </c>
      <c r="D50" s="98"/>
      <c r="E50" s="98"/>
      <c r="F50" s="99"/>
      <c r="G50" s="98">
        <f>('Balancete Dez-2013'!J298+'Balancete Dez-2013'!J320)/1000</f>
        <v>464.13523000000004</v>
      </c>
      <c r="H50" s="98"/>
      <c r="I50" s="98"/>
    </row>
    <row r="51" spans="2:9" ht="15.75" thickBot="1" x14ac:dyDescent="0.3">
      <c r="B51" s="80"/>
      <c r="C51" s="100"/>
      <c r="D51" s="101"/>
      <c r="E51" s="100"/>
      <c r="F51" s="102"/>
      <c r="G51" s="100"/>
      <c r="H51" s="101"/>
      <c r="I51" s="100"/>
    </row>
    <row r="52" spans="2:9" ht="15.75" thickBot="1" x14ac:dyDescent="0.3">
      <c r="B52" s="82"/>
      <c r="C52" s="83">
        <f>SUM(C40:C51)</f>
        <v>6260.2382999999991</v>
      </c>
      <c r="D52" s="84"/>
      <c r="E52" s="83">
        <f>SUM(E40:E51)</f>
        <v>0</v>
      </c>
      <c r="F52" s="85"/>
      <c r="G52" s="83">
        <f>SUM(G40:G51)</f>
        <v>8520.5500900000006</v>
      </c>
      <c r="H52" s="84"/>
      <c r="I52" s="83">
        <f>SUM(I40:I51)</f>
        <v>1</v>
      </c>
    </row>
    <row r="53" spans="2:9" ht="15.75" thickTop="1" x14ac:dyDescent="0.25"/>
  </sheetData>
  <mergeCells count="12">
    <mergeCell ref="C36:I36"/>
    <mergeCell ref="C37:E37"/>
    <mergeCell ref="G37:I37"/>
    <mergeCell ref="C17:I17"/>
    <mergeCell ref="C18:G18"/>
    <mergeCell ref="H19:H20"/>
    <mergeCell ref="I19:I20"/>
    <mergeCell ref="B19:B20"/>
    <mergeCell ref="C19:C20"/>
    <mergeCell ref="D19:D20"/>
    <mergeCell ref="F19:F20"/>
    <mergeCell ref="G19:G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650"/>
  <sheetViews>
    <sheetView showGridLines="0" zoomScale="80" zoomScaleNormal="80" workbookViewId="0">
      <pane xSplit="3" ySplit="4" topLeftCell="F273" activePane="bottomRight" state="frozen"/>
      <selection activeCell="B750" sqref="B750:D750"/>
      <selection pane="topRight" activeCell="B750" sqref="B750:D750"/>
      <selection pane="bottomLeft" activeCell="B750" sqref="B750:D750"/>
      <selection pane="bottomRight" activeCell="B750" sqref="B750:D750"/>
    </sheetView>
  </sheetViews>
  <sheetFormatPr defaultRowHeight="15" x14ac:dyDescent="0.25"/>
  <cols>
    <col min="1" max="1" width="17.28515625" bestFit="1" customWidth="1"/>
    <col min="2" max="2" width="10.5703125" bestFit="1" customWidth="1"/>
    <col min="3" max="3" width="43.85546875" bestFit="1" customWidth="1"/>
    <col min="4" max="4" width="17.28515625" bestFit="1" customWidth="1"/>
    <col min="5" max="5" width="2.140625" bestFit="1" customWidth="1"/>
    <col min="6" max="6" width="17.28515625" bestFit="1" customWidth="1"/>
    <col min="7" max="7" width="2.42578125" bestFit="1" customWidth="1"/>
    <col min="8" max="8" width="17.28515625" bestFit="1" customWidth="1"/>
    <col min="9" max="9" width="2.7109375" bestFit="1" customWidth="1"/>
    <col min="10" max="10" width="17.28515625" bestFit="1" customWidth="1"/>
    <col min="11" max="11" width="2.42578125" bestFit="1" customWidth="1"/>
    <col min="12" max="12" width="20" customWidth="1"/>
    <col min="13" max="13" width="3.5703125" customWidth="1"/>
    <col min="14" max="14" width="26.7109375" bestFit="1" customWidth="1"/>
    <col min="15" max="15" width="3" customWidth="1"/>
    <col min="16" max="16" width="26.7109375" bestFit="1" customWidth="1"/>
    <col min="17" max="17" width="3.28515625" customWidth="1"/>
    <col min="18" max="18" width="26.7109375" bestFit="1" customWidth="1"/>
    <col min="20" max="20" width="26.7109375" bestFit="1" customWidth="1"/>
    <col min="258" max="258" width="14.42578125" bestFit="1" customWidth="1"/>
    <col min="259" max="259" width="8.7109375" bestFit="1" customWidth="1"/>
    <col min="260" max="260" width="36.7109375" bestFit="1" customWidth="1"/>
    <col min="261" max="261" width="15" bestFit="1" customWidth="1"/>
    <col min="262" max="262" width="5.140625" bestFit="1" customWidth="1"/>
    <col min="263" max="263" width="15" bestFit="1" customWidth="1"/>
    <col min="264" max="264" width="5.140625" bestFit="1" customWidth="1"/>
    <col min="265" max="265" width="15" bestFit="1" customWidth="1"/>
    <col min="266" max="266" width="5.140625" bestFit="1" customWidth="1"/>
    <col min="267" max="267" width="15" bestFit="1" customWidth="1"/>
    <col min="268" max="268" width="2.140625" bestFit="1" customWidth="1"/>
    <col min="270" max="270" width="11.140625" bestFit="1" customWidth="1"/>
    <col min="514" max="514" width="14.42578125" bestFit="1" customWidth="1"/>
    <col min="515" max="515" width="8.7109375" bestFit="1" customWidth="1"/>
    <col min="516" max="516" width="36.7109375" bestFit="1" customWidth="1"/>
    <col min="517" max="517" width="15" bestFit="1" customWidth="1"/>
    <col min="518" max="518" width="5.140625" bestFit="1" customWidth="1"/>
    <col min="519" max="519" width="15" bestFit="1" customWidth="1"/>
    <col min="520" max="520" width="5.140625" bestFit="1" customWidth="1"/>
    <col min="521" max="521" width="15" bestFit="1" customWidth="1"/>
    <col min="522" max="522" width="5.140625" bestFit="1" customWidth="1"/>
    <col min="523" max="523" width="15" bestFit="1" customWidth="1"/>
    <col min="524" max="524" width="2.140625" bestFit="1" customWidth="1"/>
    <col min="526" max="526" width="11.140625" bestFit="1" customWidth="1"/>
    <col min="770" max="770" width="14.42578125" bestFit="1" customWidth="1"/>
    <col min="771" max="771" width="8.7109375" bestFit="1" customWidth="1"/>
    <col min="772" max="772" width="36.7109375" bestFit="1" customWidth="1"/>
    <col min="773" max="773" width="15" bestFit="1" customWidth="1"/>
    <col min="774" max="774" width="5.140625" bestFit="1" customWidth="1"/>
    <col min="775" max="775" width="15" bestFit="1" customWidth="1"/>
    <col min="776" max="776" width="5.140625" bestFit="1" customWidth="1"/>
    <col min="777" max="777" width="15" bestFit="1" customWidth="1"/>
    <col min="778" max="778" width="5.140625" bestFit="1" customWidth="1"/>
    <col min="779" max="779" width="15" bestFit="1" customWidth="1"/>
    <col min="780" max="780" width="2.140625" bestFit="1" customWidth="1"/>
    <col min="782" max="782" width="11.140625" bestFit="1" customWidth="1"/>
    <col min="1026" max="1026" width="14.42578125" bestFit="1" customWidth="1"/>
    <col min="1027" max="1027" width="8.7109375" bestFit="1" customWidth="1"/>
    <col min="1028" max="1028" width="36.7109375" bestFit="1" customWidth="1"/>
    <col min="1029" max="1029" width="15" bestFit="1" customWidth="1"/>
    <col min="1030" max="1030" width="5.140625" bestFit="1" customWidth="1"/>
    <col min="1031" max="1031" width="15" bestFit="1" customWidth="1"/>
    <col min="1032" max="1032" width="5.140625" bestFit="1" customWidth="1"/>
    <col min="1033" max="1033" width="15" bestFit="1" customWidth="1"/>
    <col min="1034" max="1034" width="5.140625" bestFit="1" customWidth="1"/>
    <col min="1035" max="1035" width="15" bestFit="1" customWidth="1"/>
    <col min="1036" max="1036" width="2.140625" bestFit="1" customWidth="1"/>
    <col min="1038" max="1038" width="11.140625" bestFit="1" customWidth="1"/>
    <col min="1282" max="1282" width="14.42578125" bestFit="1" customWidth="1"/>
    <col min="1283" max="1283" width="8.7109375" bestFit="1" customWidth="1"/>
    <col min="1284" max="1284" width="36.7109375" bestFit="1" customWidth="1"/>
    <col min="1285" max="1285" width="15" bestFit="1" customWidth="1"/>
    <col min="1286" max="1286" width="5.140625" bestFit="1" customWidth="1"/>
    <col min="1287" max="1287" width="15" bestFit="1" customWidth="1"/>
    <col min="1288" max="1288" width="5.140625" bestFit="1" customWidth="1"/>
    <col min="1289" max="1289" width="15" bestFit="1" customWidth="1"/>
    <col min="1290" max="1290" width="5.140625" bestFit="1" customWidth="1"/>
    <col min="1291" max="1291" width="15" bestFit="1" customWidth="1"/>
    <col min="1292" max="1292" width="2.140625" bestFit="1" customWidth="1"/>
    <col min="1294" max="1294" width="11.140625" bestFit="1" customWidth="1"/>
    <col min="1538" max="1538" width="14.42578125" bestFit="1" customWidth="1"/>
    <col min="1539" max="1539" width="8.7109375" bestFit="1" customWidth="1"/>
    <col min="1540" max="1540" width="36.7109375" bestFit="1" customWidth="1"/>
    <col min="1541" max="1541" width="15" bestFit="1" customWidth="1"/>
    <col min="1542" max="1542" width="5.140625" bestFit="1" customWidth="1"/>
    <col min="1543" max="1543" width="15" bestFit="1" customWidth="1"/>
    <col min="1544" max="1544" width="5.140625" bestFit="1" customWidth="1"/>
    <col min="1545" max="1545" width="15" bestFit="1" customWidth="1"/>
    <col min="1546" max="1546" width="5.140625" bestFit="1" customWidth="1"/>
    <col min="1547" max="1547" width="15" bestFit="1" customWidth="1"/>
    <col min="1548" max="1548" width="2.140625" bestFit="1" customWidth="1"/>
    <col min="1550" max="1550" width="11.140625" bestFit="1" customWidth="1"/>
    <col min="1794" max="1794" width="14.42578125" bestFit="1" customWidth="1"/>
    <col min="1795" max="1795" width="8.7109375" bestFit="1" customWidth="1"/>
    <col min="1796" max="1796" width="36.7109375" bestFit="1" customWidth="1"/>
    <col min="1797" max="1797" width="15" bestFit="1" customWidth="1"/>
    <col min="1798" max="1798" width="5.140625" bestFit="1" customWidth="1"/>
    <col min="1799" max="1799" width="15" bestFit="1" customWidth="1"/>
    <col min="1800" max="1800" width="5.140625" bestFit="1" customWidth="1"/>
    <col min="1801" max="1801" width="15" bestFit="1" customWidth="1"/>
    <col min="1802" max="1802" width="5.140625" bestFit="1" customWidth="1"/>
    <col min="1803" max="1803" width="15" bestFit="1" customWidth="1"/>
    <col min="1804" max="1804" width="2.140625" bestFit="1" customWidth="1"/>
    <col min="1806" max="1806" width="11.140625" bestFit="1" customWidth="1"/>
    <col min="2050" max="2050" width="14.42578125" bestFit="1" customWidth="1"/>
    <col min="2051" max="2051" width="8.7109375" bestFit="1" customWidth="1"/>
    <col min="2052" max="2052" width="36.7109375" bestFit="1" customWidth="1"/>
    <col min="2053" max="2053" width="15" bestFit="1" customWidth="1"/>
    <col min="2054" max="2054" width="5.140625" bestFit="1" customWidth="1"/>
    <col min="2055" max="2055" width="15" bestFit="1" customWidth="1"/>
    <col min="2056" max="2056" width="5.140625" bestFit="1" customWidth="1"/>
    <col min="2057" max="2057" width="15" bestFit="1" customWidth="1"/>
    <col min="2058" max="2058" width="5.140625" bestFit="1" customWidth="1"/>
    <col min="2059" max="2059" width="15" bestFit="1" customWidth="1"/>
    <col min="2060" max="2060" width="2.140625" bestFit="1" customWidth="1"/>
    <col min="2062" max="2062" width="11.140625" bestFit="1" customWidth="1"/>
    <col min="2306" max="2306" width="14.42578125" bestFit="1" customWidth="1"/>
    <col min="2307" max="2307" width="8.7109375" bestFit="1" customWidth="1"/>
    <col min="2308" max="2308" width="36.7109375" bestFit="1" customWidth="1"/>
    <col min="2309" max="2309" width="15" bestFit="1" customWidth="1"/>
    <col min="2310" max="2310" width="5.140625" bestFit="1" customWidth="1"/>
    <col min="2311" max="2311" width="15" bestFit="1" customWidth="1"/>
    <col min="2312" max="2312" width="5.140625" bestFit="1" customWidth="1"/>
    <col min="2313" max="2313" width="15" bestFit="1" customWidth="1"/>
    <col min="2314" max="2314" width="5.140625" bestFit="1" customWidth="1"/>
    <col min="2315" max="2315" width="15" bestFit="1" customWidth="1"/>
    <col min="2316" max="2316" width="2.140625" bestFit="1" customWidth="1"/>
    <col min="2318" max="2318" width="11.140625" bestFit="1" customWidth="1"/>
    <col min="2562" max="2562" width="14.42578125" bestFit="1" customWidth="1"/>
    <col min="2563" max="2563" width="8.7109375" bestFit="1" customWidth="1"/>
    <col min="2564" max="2564" width="36.7109375" bestFit="1" customWidth="1"/>
    <col min="2565" max="2565" width="15" bestFit="1" customWidth="1"/>
    <col min="2566" max="2566" width="5.140625" bestFit="1" customWidth="1"/>
    <col min="2567" max="2567" width="15" bestFit="1" customWidth="1"/>
    <col min="2568" max="2568" width="5.140625" bestFit="1" customWidth="1"/>
    <col min="2569" max="2569" width="15" bestFit="1" customWidth="1"/>
    <col min="2570" max="2570" width="5.140625" bestFit="1" customWidth="1"/>
    <col min="2571" max="2571" width="15" bestFit="1" customWidth="1"/>
    <col min="2572" max="2572" width="2.140625" bestFit="1" customWidth="1"/>
    <col min="2574" max="2574" width="11.140625" bestFit="1" customWidth="1"/>
    <col min="2818" max="2818" width="14.42578125" bestFit="1" customWidth="1"/>
    <col min="2819" max="2819" width="8.7109375" bestFit="1" customWidth="1"/>
    <col min="2820" max="2820" width="36.7109375" bestFit="1" customWidth="1"/>
    <col min="2821" max="2821" width="15" bestFit="1" customWidth="1"/>
    <col min="2822" max="2822" width="5.140625" bestFit="1" customWidth="1"/>
    <col min="2823" max="2823" width="15" bestFit="1" customWidth="1"/>
    <col min="2824" max="2824" width="5.140625" bestFit="1" customWidth="1"/>
    <col min="2825" max="2825" width="15" bestFit="1" customWidth="1"/>
    <col min="2826" max="2826" width="5.140625" bestFit="1" customWidth="1"/>
    <col min="2827" max="2827" width="15" bestFit="1" customWidth="1"/>
    <col min="2828" max="2828" width="2.140625" bestFit="1" customWidth="1"/>
    <col min="2830" max="2830" width="11.140625" bestFit="1" customWidth="1"/>
    <col min="3074" max="3074" width="14.42578125" bestFit="1" customWidth="1"/>
    <col min="3075" max="3075" width="8.7109375" bestFit="1" customWidth="1"/>
    <col min="3076" max="3076" width="36.7109375" bestFit="1" customWidth="1"/>
    <col min="3077" max="3077" width="15" bestFit="1" customWidth="1"/>
    <col min="3078" max="3078" width="5.140625" bestFit="1" customWidth="1"/>
    <col min="3079" max="3079" width="15" bestFit="1" customWidth="1"/>
    <col min="3080" max="3080" width="5.140625" bestFit="1" customWidth="1"/>
    <col min="3081" max="3081" width="15" bestFit="1" customWidth="1"/>
    <col min="3082" max="3082" width="5.140625" bestFit="1" customWidth="1"/>
    <col min="3083" max="3083" width="15" bestFit="1" customWidth="1"/>
    <col min="3084" max="3084" width="2.140625" bestFit="1" customWidth="1"/>
    <col min="3086" max="3086" width="11.140625" bestFit="1" customWidth="1"/>
    <col min="3330" max="3330" width="14.42578125" bestFit="1" customWidth="1"/>
    <col min="3331" max="3331" width="8.7109375" bestFit="1" customWidth="1"/>
    <col min="3332" max="3332" width="36.7109375" bestFit="1" customWidth="1"/>
    <col min="3333" max="3333" width="15" bestFit="1" customWidth="1"/>
    <col min="3334" max="3334" width="5.140625" bestFit="1" customWidth="1"/>
    <col min="3335" max="3335" width="15" bestFit="1" customWidth="1"/>
    <col min="3336" max="3336" width="5.140625" bestFit="1" customWidth="1"/>
    <col min="3337" max="3337" width="15" bestFit="1" customWidth="1"/>
    <col min="3338" max="3338" width="5.140625" bestFit="1" customWidth="1"/>
    <col min="3339" max="3339" width="15" bestFit="1" customWidth="1"/>
    <col min="3340" max="3340" width="2.140625" bestFit="1" customWidth="1"/>
    <col min="3342" max="3342" width="11.140625" bestFit="1" customWidth="1"/>
    <col min="3586" max="3586" width="14.42578125" bestFit="1" customWidth="1"/>
    <col min="3587" max="3587" width="8.7109375" bestFit="1" customWidth="1"/>
    <col min="3588" max="3588" width="36.7109375" bestFit="1" customWidth="1"/>
    <col min="3589" max="3589" width="15" bestFit="1" customWidth="1"/>
    <col min="3590" max="3590" width="5.140625" bestFit="1" customWidth="1"/>
    <col min="3591" max="3591" width="15" bestFit="1" customWidth="1"/>
    <col min="3592" max="3592" width="5.140625" bestFit="1" customWidth="1"/>
    <col min="3593" max="3593" width="15" bestFit="1" customWidth="1"/>
    <col min="3594" max="3594" width="5.140625" bestFit="1" customWidth="1"/>
    <col min="3595" max="3595" width="15" bestFit="1" customWidth="1"/>
    <col min="3596" max="3596" width="2.140625" bestFit="1" customWidth="1"/>
    <col min="3598" max="3598" width="11.140625" bestFit="1" customWidth="1"/>
    <col min="3842" max="3842" width="14.42578125" bestFit="1" customWidth="1"/>
    <col min="3843" max="3843" width="8.7109375" bestFit="1" customWidth="1"/>
    <col min="3844" max="3844" width="36.7109375" bestFit="1" customWidth="1"/>
    <col min="3845" max="3845" width="15" bestFit="1" customWidth="1"/>
    <col min="3846" max="3846" width="5.140625" bestFit="1" customWidth="1"/>
    <col min="3847" max="3847" width="15" bestFit="1" customWidth="1"/>
    <col min="3848" max="3848" width="5.140625" bestFit="1" customWidth="1"/>
    <col min="3849" max="3849" width="15" bestFit="1" customWidth="1"/>
    <col min="3850" max="3850" width="5.140625" bestFit="1" customWidth="1"/>
    <col min="3851" max="3851" width="15" bestFit="1" customWidth="1"/>
    <col min="3852" max="3852" width="2.140625" bestFit="1" customWidth="1"/>
    <col min="3854" max="3854" width="11.140625" bestFit="1" customWidth="1"/>
    <col min="4098" max="4098" width="14.42578125" bestFit="1" customWidth="1"/>
    <col min="4099" max="4099" width="8.7109375" bestFit="1" customWidth="1"/>
    <col min="4100" max="4100" width="36.7109375" bestFit="1" customWidth="1"/>
    <col min="4101" max="4101" width="15" bestFit="1" customWidth="1"/>
    <col min="4102" max="4102" width="5.140625" bestFit="1" customWidth="1"/>
    <col min="4103" max="4103" width="15" bestFit="1" customWidth="1"/>
    <col min="4104" max="4104" width="5.140625" bestFit="1" customWidth="1"/>
    <col min="4105" max="4105" width="15" bestFit="1" customWidth="1"/>
    <col min="4106" max="4106" width="5.140625" bestFit="1" customWidth="1"/>
    <col min="4107" max="4107" width="15" bestFit="1" customWidth="1"/>
    <col min="4108" max="4108" width="2.140625" bestFit="1" customWidth="1"/>
    <col min="4110" max="4110" width="11.140625" bestFit="1" customWidth="1"/>
    <col min="4354" max="4354" width="14.42578125" bestFit="1" customWidth="1"/>
    <col min="4355" max="4355" width="8.7109375" bestFit="1" customWidth="1"/>
    <col min="4356" max="4356" width="36.7109375" bestFit="1" customWidth="1"/>
    <col min="4357" max="4357" width="15" bestFit="1" customWidth="1"/>
    <col min="4358" max="4358" width="5.140625" bestFit="1" customWidth="1"/>
    <col min="4359" max="4359" width="15" bestFit="1" customWidth="1"/>
    <col min="4360" max="4360" width="5.140625" bestFit="1" customWidth="1"/>
    <col min="4361" max="4361" width="15" bestFit="1" customWidth="1"/>
    <col min="4362" max="4362" width="5.140625" bestFit="1" customWidth="1"/>
    <col min="4363" max="4363" width="15" bestFit="1" customWidth="1"/>
    <col min="4364" max="4364" width="2.140625" bestFit="1" customWidth="1"/>
    <col min="4366" max="4366" width="11.140625" bestFit="1" customWidth="1"/>
    <col min="4610" max="4610" width="14.42578125" bestFit="1" customWidth="1"/>
    <col min="4611" max="4611" width="8.7109375" bestFit="1" customWidth="1"/>
    <col min="4612" max="4612" width="36.7109375" bestFit="1" customWidth="1"/>
    <col min="4613" max="4613" width="15" bestFit="1" customWidth="1"/>
    <col min="4614" max="4614" width="5.140625" bestFit="1" customWidth="1"/>
    <col min="4615" max="4615" width="15" bestFit="1" customWidth="1"/>
    <col min="4616" max="4616" width="5.140625" bestFit="1" customWidth="1"/>
    <col min="4617" max="4617" width="15" bestFit="1" customWidth="1"/>
    <col min="4618" max="4618" width="5.140625" bestFit="1" customWidth="1"/>
    <col min="4619" max="4619" width="15" bestFit="1" customWidth="1"/>
    <col min="4620" max="4620" width="2.140625" bestFit="1" customWidth="1"/>
    <col min="4622" max="4622" width="11.140625" bestFit="1" customWidth="1"/>
    <col min="4866" max="4866" width="14.42578125" bestFit="1" customWidth="1"/>
    <col min="4867" max="4867" width="8.7109375" bestFit="1" customWidth="1"/>
    <col min="4868" max="4868" width="36.7109375" bestFit="1" customWidth="1"/>
    <col min="4869" max="4869" width="15" bestFit="1" customWidth="1"/>
    <col min="4870" max="4870" width="5.140625" bestFit="1" customWidth="1"/>
    <col min="4871" max="4871" width="15" bestFit="1" customWidth="1"/>
    <col min="4872" max="4872" width="5.140625" bestFit="1" customWidth="1"/>
    <col min="4873" max="4873" width="15" bestFit="1" customWidth="1"/>
    <col min="4874" max="4874" width="5.140625" bestFit="1" customWidth="1"/>
    <col min="4875" max="4875" width="15" bestFit="1" customWidth="1"/>
    <col min="4876" max="4876" width="2.140625" bestFit="1" customWidth="1"/>
    <col min="4878" max="4878" width="11.140625" bestFit="1" customWidth="1"/>
    <col min="5122" max="5122" width="14.42578125" bestFit="1" customWidth="1"/>
    <col min="5123" max="5123" width="8.7109375" bestFit="1" customWidth="1"/>
    <col min="5124" max="5124" width="36.7109375" bestFit="1" customWidth="1"/>
    <col min="5125" max="5125" width="15" bestFit="1" customWidth="1"/>
    <col min="5126" max="5126" width="5.140625" bestFit="1" customWidth="1"/>
    <col min="5127" max="5127" width="15" bestFit="1" customWidth="1"/>
    <col min="5128" max="5128" width="5.140625" bestFit="1" customWidth="1"/>
    <col min="5129" max="5129" width="15" bestFit="1" customWidth="1"/>
    <col min="5130" max="5130" width="5.140625" bestFit="1" customWidth="1"/>
    <col min="5131" max="5131" width="15" bestFit="1" customWidth="1"/>
    <col min="5132" max="5132" width="2.140625" bestFit="1" customWidth="1"/>
    <col min="5134" max="5134" width="11.140625" bestFit="1" customWidth="1"/>
    <col min="5378" max="5378" width="14.42578125" bestFit="1" customWidth="1"/>
    <col min="5379" max="5379" width="8.7109375" bestFit="1" customWidth="1"/>
    <col min="5380" max="5380" width="36.7109375" bestFit="1" customWidth="1"/>
    <col min="5381" max="5381" width="15" bestFit="1" customWidth="1"/>
    <col min="5382" max="5382" width="5.140625" bestFit="1" customWidth="1"/>
    <col min="5383" max="5383" width="15" bestFit="1" customWidth="1"/>
    <col min="5384" max="5384" width="5.140625" bestFit="1" customWidth="1"/>
    <col min="5385" max="5385" width="15" bestFit="1" customWidth="1"/>
    <col min="5386" max="5386" width="5.140625" bestFit="1" customWidth="1"/>
    <col min="5387" max="5387" width="15" bestFit="1" customWidth="1"/>
    <col min="5388" max="5388" width="2.140625" bestFit="1" customWidth="1"/>
    <col min="5390" max="5390" width="11.140625" bestFit="1" customWidth="1"/>
    <col min="5634" max="5634" width="14.42578125" bestFit="1" customWidth="1"/>
    <col min="5635" max="5635" width="8.7109375" bestFit="1" customWidth="1"/>
    <col min="5636" max="5636" width="36.7109375" bestFit="1" customWidth="1"/>
    <col min="5637" max="5637" width="15" bestFit="1" customWidth="1"/>
    <col min="5638" max="5638" width="5.140625" bestFit="1" customWidth="1"/>
    <col min="5639" max="5639" width="15" bestFit="1" customWidth="1"/>
    <col min="5640" max="5640" width="5.140625" bestFit="1" customWidth="1"/>
    <col min="5641" max="5641" width="15" bestFit="1" customWidth="1"/>
    <col min="5642" max="5642" width="5.140625" bestFit="1" customWidth="1"/>
    <col min="5643" max="5643" width="15" bestFit="1" customWidth="1"/>
    <col min="5644" max="5644" width="2.140625" bestFit="1" customWidth="1"/>
    <col min="5646" max="5646" width="11.140625" bestFit="1" customWidth="1"/>
    <col min="5890" max="5890" width="14.42578125" bestFit="1" customWidth="1"/>
    <col min="5891" max="5891" width="8.7109375" bestFit="1" customWidth="1"/>
    <col min="5892" max="5892" width="36.7109375" bestFit="1" customWidth="1"/>
    <col min="5893" max="5893" width="15" bestFit="1" customWidth="1"/>
    <col min="5894" max="5894" width="5.140625" bestFit="1" customWidth="1"/>
    <col min="5895" max="5895" width="15" bestFit="1" customWidth="1"/>
    <col min="5896" max="5896" width="5.140625" bestFit="1" customWidth="1"/>
    <col min="5897" max="5897" width="15" bestFit="1" customWidth="1"/>
    <col min="5898" max="5898" width="5.140625" bestFit="1" customWidth="1"/>
    <col min="5899" max="5899" width="15" bestFit="1" customWidth="1"/>
    <col min="5900" max="5900" width="2.140625" bestFit="1" customWidth="1"/>
    <col min="5902" max="5902" width="11.140625" bestFit="1" customWidth="1"/>
    <col min="6146" max="6146" width="14.42578125" bestFit="1" customWidth="1"/>
    <col min="6147" max="6147" width="8.7109375" bestFit="1" customWidth="1"/>
    <col min="6148" max="6148" width="36.7109375" bestFit="1" customWidth="1"/>
    <col min="6149" max="6149" width="15" bestFit="1" customWidth="1"/>
    <col min="6150" max="6150" width="5.140625" bestFit="1" customWidth="1"/>
    <col min="6151" max="6151" width="15" bestFit="1" customWidth="1"/>
    <col min="6152" max="6152" width="5.140625" bestFit="1" customWidth="1"/>
    <col min="6153" max="6153" width="15" bestFit="1" customWidth="1"/>
    <col min="6154" max="6154" width="5.140625" bestFit="1" customWidth="1"/>
    <col min="6155" max="6155" width="15" bestFit="1" customWidth="1"/>
    <col min="6156" max="6156" width="2.140625" bestFit="1" customWidth="1"/>
    <col min="6158" max="6158" width="11.140625" bestFit="1" customWidth="1"/>
    <col min="6402" max="6402" width="14.42578125" bestFit="1" customWidth="1"/>
    <col min="6403" max="6403" width="8.7109375" bestFit="1" customWidth="1"/>
    <col min="6404" max="6404" width="36.7109375" bestFit="1" customWidth="1"/>
    <col min="6405" max="6405" width="15" bestFit="1" customWidth="1"/>
    <col min="6406" max="6406" width="5.140625" bestFit="1" customWidth="1"/>
    <col min="6407" max="6407" width="15" bestFit="1" customWidth="1"/>
    <col min="6408" max="6408" width="5.140625" bestFit="1" customWidth="1"/>
    <col min="6409" max="6409" width="15" bestFit="1" customWidth="1"/>
    <col min="6410" max="6410" width="5.140625" bestFit="1" customWidth="1"/>
    <col min="6411" max="6411" width="15" bestFit="1" customWidth="1"/>
    <col min="6412" max="6412" width="2.140625" bestFit="1" customWidth="1"/>
    <col min="6414" max="6414" width="11.140625" bestFit="1" customWidth="1"/>
    <col min="6658" max="6658" width="14.42578125" bestFit="1" customWidth="1"/>
    <col min="6659" max="6659" width="8.7109375" bestFit="1" customWidth="1"/>
    <col min="6660" max="6660" width="36.7109375" bestFit="1" customWidth="1"/>
    <col min="6661" max="6661" width="15" bestFit="1" customWidth="1"/>
    <col min="6662" max="6662" width="5.140625" bestFit="1" customWidth="1"/>
    <col min="6663" max="6663" width="15" bestFit="1" customWidth="1"/>
    <col min="6664" max="6664" width="5.140625" bestFit="1" customWidth="1"/>
    <col min="6665" max="6665" width="15" bestFit="1" customWidth="1"/>
    <col min="6666" max="6666" width="5.140625" bestFit="1" customWidth="1"/>
    <col min="6667" max="6667" width="15" bestFit="1" customWidth="1"/>
    <col min="6668" max="6668" width="2.140625" bestFit="1" customWidth="1"/>
    <col min="6670" max="6670" width="11.140625" bestFit="1" customWidth="1"/>
    <col min="6914" max="6914" width="14.42578125" bestFit="1" customWidth="1"/>
    <col min="6915" max="6915" width="8.7109375" bestFit="1" customWidth="1"/>
    <col min="6916" max="6916" width="36.7109375" bestFit="1" customWidth="1"/>
    <col min="6917" max="6917" width="15" bestFit="1" customWidth="1"/>
    <col min="6918" max="6918" width="5.140625" bestFit="1" customWidth="1"/>
    <col min="6919" max="6919" width="15" bestFit="1" customWidth="1"/>
    <col min="6920" max="6920" width="5.140625" bestFit="1" customWidth="1"/>
    <col min="6921" max="6921" width="15" bestFit="1" customWidth="1"/>
    <col min="6922" max="6922" width="5.140625" bestFit="1" customWidth="1"/>
    <col min="6923" max="6923" width="15" bestFit="1" customWidth="1"/>
    <col min="6924" max="6924" width="2.140625" bestFit="1" customWidth="1"/>
    <col min="6926" max="6926" width="11.140625" bestFit="1" customWidth="1"/>
    <col min="7170" max="7170" width="14.42578125" bestFit="1" customWidth="1"/>
    <col min="7171" max="7171" width="8.7109375" bestFit="1" customWidth="1"/>
    <col min="7172" max="7172" width="36.7109375" bestFit="1" customWidth="1"/>
    <col min="7173" max="7173" width="15" bestFit="1" customWidth="1"/>
    <col min="7174" max="7174" width="5.140625" bestFit="1" customWidth="1"/>
    <col min="7175" max="7175" width="15" bestFit="1" customWidth="1"/>
    <col min="7176" max="7176" width="5.140625" bestFit="1" customWidth="1"/>
    <col min="7177" max="7177" width="15" bestFit="1" customWidth="1"/>
    <col min="7178" max="7178" width="5.140625" bestFit="1" customWidth="1"/>
    <col min="7179" max="7179" width="15" bestFit="1" customWidth="1"/>
    <col min="7180" max="7180" width="2.140625" bestFit="1" customWidth="1"/>
    <col min="7182" max="7182" width="11.140625" bestFit="1" customWidth="1"/>
    <col min="7426" max="7426" width="14.42578125" bestFit="1" customWidth="1"/>
    <col min="7427" max="7427" width="8.7109375" bestFit="1" customWidth="1"/>
    <col min="7428" max="7428" width="36.7109375" bestFit="1" customWidth="1"/>
    <col min="7429" max="7429" width="15" bestFit="1" customWidth="1"/>
    <col min="7430" max="7430" width="5.140625" bestFit="1" customWidth="1"/>
    <col min="7431" max="7431" width="15" bestFit="1" customWidth="1"/>
    <col min="7432" max="7432" width="5.140625" bestFit="1" customWidth="1"/>
    <col min="7433" max="7433" width="15" bestFit="1" customWidth="1"/>
    <col min="7434" max="7434" width="5.140625" bestFit="1" customWidth="1"/>
    <col min="7435" max="7435" width="15" bestFit="1" customWidth="1"/>
    <col min="7436" max="7436" width="2.140625" bestFit="1" customWidth="1"/>
    <col min="7438" max="7438" width="11.140625" bestFit="1" customWidth="1"/>
    <col min="7682" max="7682" width="14.42578125" bestFit="1" customWidth="1"/>
    <col min="7683" max="7683" width="8.7109375" bestFit="1" customWidth="1"/>
    <col min="7684" max="7684" width="36.7109375" bestFit="1" customWidth="1"/>
    <col min="7685" max="7685" width="15" bestFit="1" customWidth="1"/>
    <col min="7686" max="7686" width="5.140625" bestFit="1" customWidth="1"/>
    <col min="7687" max="7687" width="15" bestFit="1" customWidth="1"/>
    <col min="7688" max="7688" width="5.140625" bestFit="1" customWidth="1"/>
    <col min="7689" max="7689" width="15" bestFit="1" customWidth="1"/>
    <col min="7690" max="7690" width="5.140625" bestFit="1" customWidth="1"/>
    <col min="7691" max="7691" width="15" bestFit="1" customWidth="1"/>
    <col min="7692" max="7692" width="2.140625" bestFit="1" customWidth="1"/>
    <col min="7694" max="7694" width="11.140625" bestFit="1" customWidth="1"/>
    <col min="7938" max="7938" width="14.42578125" bestFit="1" customWidth="1"/>
    <col min="7939" max="7939" width="8.7109375" bestFit="1" customWidth="1"/>
    <col min="7940" max="7940" width="36.7109375" bestFit="1" customWidth="1"/>
    <col min="7941" max="7941" width="15" bestFit="1" customWidth="1"/>
    <col min="7942" max="7942" width="5.140625" bestFit="1" customWidth="1"/>
    <col min="7943" max="7943" width="15" bestFit="1" customWidth="1"/>
    <col min="7944" max="7944" width="5.140625" bestFit="1" customWidth="1"/>
    <col min="7945" max="7945" width="15" bestFit="1" customWidth="1"/>
    <col min="7946" max="7946" width="5.140625" bestFit="1" customWidth="1"/>
    <col min="7947" max="7947" width="15" bestFit="1" customWidth="1"/>
    <col min="7948" max="7948" width="2.140625" bestFit="1" customWidth="1"/>
    <col min="7950" max="7950" width="11.140625" bestFit="1" customWidth="1"/>
    <col min="8194" max="8194" width="14.42578125" bestFit="1" customWidth="1"/>
    <col min="8195" max="8195" width="8.7109375" bestFit="1" customWidth="1"/>
    <col min="8196" max="8196" width="36.7109375" bestFit="1" customWidth="1"/>
    <col min="8197" max="8197" width="15" bestFit="1" customWidth="1"/>
    <col min="8198" max="8198" width="5.140625" bestFit="1" customWidth="1"/>
    <col min="8199" max="8199" width="15" bestFit="1" customWidth="1"/>
    <col min="8200" max="8200" width="5.140625" bestFit="1" customWidth="1"/>
    <col min="8201" max="8201" width="15" bestFit="1" customWidth="1"/>
    <col min="8202" max="8202" width="5.140625" bestFit="1" customWidth="1"/>
    <col min="8203" max="8203" width="15" bestFit="1" customWidth="1"/>
    <col min="8204" max="8204" width="2.140625" bestFit="1" customWidth="1"/>
    <col min="8206" max="8206" width="11.140625" bestFit="1" customWidth="1"/>
    <col min="8450" max="8450" width="14.42578125" bestFit="1" customWidth="1"/>
    <col min="8451" max="8451" width="8.7109375" bestFit="1" customWidth="1"/>
    <col min="8452" max="8452" width="36.7109375" bestFit="1" customWidth="1"/>
    <col min="8453" max="8453" width="15" bestFit="1" customWidth="1"/>
    <col min="8454" max="8454" width="5.140625" bestFit="1" customWidth="1"/>
    <col min="8455" max="8455" width="15" bestFit="1" customWidth="1"/>
    <col min="8456" max="8456" width="5.140625" bestFit="1" customWidth="1"/>
    <col min="8457" max="8457" width="15" bestFit="1" customWidth="1"/>
    <col min="8458" max="8458" width="5.140625" bestFit="1" customWidth="1"/>
    <col min="8459" max="8459" width="15" bestFit="1" customWidth="1"/>
    <col min="8460" max="8460" width="2.140625" bestFit="1" customWidth="1"/>
    <col min="8462" max="8462" width="11.140625" bestFit="1" customWidth="1"/>
    <col min="8706" max="8706" width="14.42578125" bestFit="1" customWidth="1"/>
    <col min="8707" max="8707" width="8.7109375" bestFit="1" customWidth="1"/>
    <col min="8708" max="8708" width="36.7109375" bestFit="1" customWidth="1"/>
    <col min="8709" max="8709" width="15" bestFit="1" customWidth="1"/>
    <col min="8710" max="8710" width="5.140625" bestFit="1" customWidth="1"/>
    <col min="8711" max="8711" width="15" bestFit="1" customWidth="1"/>
    <col min="8712" max="8712" width="5.140625" bestFit="1" customWidth="1"/>
    <col min="8713" max="8713" width="15" bestFit="1" customWidth="1"/>
    <col min="8714" max="8714" width="5.140625" bestFit="1" customWidth="1"/>
    <col min="8715" max="8715" width="15" bestFit="1" customWidth="1"/>
    <col min="8716" max="8716" width="2.140625" bestFit="1" customWidth="1"/>
    <col min="8718" max="8718" width="11.140625" bestFit="1" customWidth="1"/>
    <col min="8962" max="8962" width="14.42578125" bestFit="1" customWidth="1"/>
    <col min="8963" max="8963" width="8.7109375" bestFit="1" customWidth="1"/>
    <col min="8964" max="8964" width="36.7109375" bestFit="1" customWidth="1"/>
    <col min="8965" max="8965" width="15" bestFit="1" customWidth="1"/>
    <col min="8966" max="8966" width="5.140625" bestFit="1" customWidth="1"/>
    <col min="8967" max="8967" width="15" bestFit="1" customWidth="1"/>
    <col min="8968" max="8968" width="5.140625" bestFit="1" customWidth="1"/>
    <col min="8969" max="8969" width="15" bestFit="1" customWidth="1"/>
    <col min="8970" max="8970" width="5.140625" bestFit="1" customWidth="1"/>
    <col min="8971" max="8971" width="15" bestFit="1" customWidth="1"/>
    <col min="8972" max="8972" width="2.140625" bestFit="1" customWidth="1"/>
    <col min="8974" max="8974" width="11.140625" bestFit="1" customWidth="1"/>
    <col min="9218" max="9218" width="14.42578125" bestFit="1" customWidth="1"/>
    <col min="9219" max="9219" width="8.7109375" bestFit="1" customWidth="1"/>
    <col min="9220" max="9220" width="36.7109375" bestFit="1" customWidth="1"/>
    <col min="9221" max="9221" width="15" bestFit="1" customWidth="1"/>
    <col min="9222" max="9222" width="5.140625" bestFit="1" customWidth="1"/>
    <col min="9223" max="9223" width="15" bestFit="1" customWidth="1"/>
    <col min="9224" max="9224" width="5.140625" bestFit="1" customWidth="1"/>
    <col min="9225" max="9225" width="15" bestFit="1" customWidth="1"/>
    <col min="9226" max="9226" width="5.140625" bestFit="1" customWidth="1"/>
    <col min="9227" max="9227" width="15" bestFit="1" customWidth="1"/>
    <col min="9228" max="9228" width="2.140625" bestFit="1" customWidth="1"/>
    <col min="9230" max="9230" width="11.140625" bestFit="1" customWidth="1"/>
    <col min="9474" max="9474" width="14.42578125" bestFit="1" customWidth="1"/>
    <col min="9475" max="9475" width="8.7109375" bestFit="1" customWidth="1"/>
    <col min="9476" max="9476" width="36.7109375" bestFit="1" customWidth="1"/>
    <col min="9477" max="9477" width="15" bestFit="1" customWidth="1"/>
    <col min="9478" max="9478" width="5.140625" bestFit="1" customWidth="1"/>
    <col min="9479" max="9479" width="15" bestFit="1" customWidth="1"/>
    <col min="9480" max="9480" width="5.140625" bestFit="1" customWidth="1"/>
    <col min="9481" max="9481" width="15" bestFit="1" customWidth="1"/>
    <col min="9482" max="9482" width="5.140625" bestFit="1" customWidth="1"/>
    <col min="9483" max="9483" width="15" bestFit="1" customWidth="1"/>
    <col min="9484" max="9484" width="2.140625" bestFit="1" customWidth="1"/>
    <col min="9486" max="9486" width="11.140625" bestFit="1" customWidth="1"/>
    <col min="9730" max="9730" width="14.42578125" bestFit="1" customWidth="1"/>
    <col min="9731" max="9731" width="8.7109375" bestFit="1" customWidth="1"/>
    <col min="9732" max="9732" width="36.7109375" bestFit="1" customWidth="1"/>
    <col min="9733" max="9733" width="15" bestFit="1" customWidth="1"/>
    <col min="9734" max="9734" width="5.140625" bestFit="1" customWidth="1"/>
    <col min="9735" max="9735" width="15" bestFit="1" customWidth="1"/>
    <col min="9736" max="9736" width="5.140625" bestFit="1" customWidth="1"/>
    <col min="9737" max="9737" width="15" bestFit="1" customWidth="1"/>
    <col min="9738" max="9738" width="5.140625" bestFit="1" customWidth="1"/>
    <col min="9739" max="9739" width="15" bestFit="1" customWidth="1"/>
    <col min="9740" max="9740" width="2.140625" bestFit="1" customWidth="1"/>
    <col min="9742" max="9742" width="11.140625" bestFit="1" customWidth="1"/>
    <col min="9986" max="9986" width="14.42578125" bestFit="1" customWidth="1"/>
    <col min="9987" max="9987" width="8.7109375" bestFit="1" customWidth="1"/>
    <col min="9988" max="9988" width="36.7109375" bestFit="1" customWidth="1"/>
    <col min="9989" max="9989" width="15" bestFit="1" customWidth="1"/>
    <col min="9990" max="9990" width="5.140625" bestFit="1" customWidth="1"/>
    <col min="9991" max="9991" width="15" bestFit="1" customWidth="1"/>
    <col min="9992" max="9992" width="5.140625" bestFit="1" customWidth="1"/>
    <col min="9993" max="9993" width="15" bestFit="1" customWidth="1"/>
    <col min="9994" max="9994" width="5.140625" bestFit="1" customWidth="1"/>
    <col min="9995" max="9995" width="15" bestFit="1" customWidth="1"/>
    <col min="9996" max="9996" width="2.140625" bestFit="1" customWidth="1"/>
    <col min="9998" max="9998" width="11.140625" bestFit="1" customWidth="1"/>
    <col min="10242" max="10242" width="14.42578125" bestFit="1" customWidth="1"/>
    <col min="10243" max="10243" width="8.7109375" bestFit="1" customWidth="1"/>
    <col min="10244" max="10244" width="36.7109375" bestFit="1" customWidth="1"/>
    <col min="10245" max="10245" width="15" bestFit="1" customWidth="1"/>
    <col min="10246" max="10246" width="5.140625" bestFit="1" customWidth="1"/>
    <col min="10247" max="10247" width="15" bestFit="1" customWidth="1"/>
    <col min="10248" max="10248" width="5.140625" bestFit="1" customWidth="1"/>
    <col min="10249" max="10249" width="15" bestFit="1" customWidth="1"/>
    <col min="10250" max="10250" width="5.140625" bestFit="1" customWidth="1"/>
    <col min="10251" max="10251" width="15" bestFit="1" customWidth="1"/>
    <col min="10252" max="10252" width="2.140625" bestFit="1" customWidth="1"/>
    <col min="10254" max="10254" width="11.140625" bestFit="1" customWidth="1"/>
    <col min="10498" max="10498" width="14.42578125" bestFit="1" customWidth="1"/>
    <col min="10499" max="10499" width="8.7109375" bestFit="1" customWidth="1"/>
    <col min="10500" max="10500" width="36.7109375" bestFit="1" customWidth="1"/>
    <col min="10501" max="10501" width="15" bestFit="1" customWidth="1"/>
    <col min="10502" max="10502" width="5.140625" bestFit="1" customWidth="1"/>
    <col min="10503" max="10503" width="15" bestFit="1" customWidth="1"/>
    <col min="10504" max="10504" width="5.140625" bestFit="1" customWidth="1"/>
    <col min="10505" max="10505" width="15" bestFit="1" customWidth="1"/>
    <col min="10506" max="10506" width="5.140625" bestFit="1" customWidth="1"/>
    <col min="10507" max="10507" width="15" bestFit="1" customWidth="1"/>
    <col min="10508" max="10508" width="2.140625" bestFit="1" customWidth="1"/>
    <col min="10510" max="10510" width="11.140625" bestFit="1" customWidth="1"/>
    <col min="10754" max="10754" width="14.42578125" bestFit="1" customWidth="1"/>
    <col min="10755" max="10755" width="8.7109375" bestFit="1" customWidth="1"/>
    <col min="10756" max="10756" width="36.7109375" bestFit="1" customWidth="1"/>
    <col min="10757" max="10757" width="15" bestFit="1" customWidth="1"/>
    <col min="10758" max="10758" width="5.140625" bestFit="1" customWidth="1"/>
    <col min="10759" max="10759" width="15" bestFit="1" customWidth="1"/>
    <col min="10760" max="10760" width="5.140625" bestFit="1" customWidth="1"/>
    <col min="10761" max="10761" width="15" bestFit="1" customWidth="1"/>
    <col min="10762" max="10762" width="5.140625" bestFit="1" customWidth="1"/>
    <col min="10763" max="10763" width="15" bestFit="1" customWidth="1"/>
    <col min="10764" max="10764" width="2.140625" bestFit="1" customWidth="1"/>
    <col min="10766" max="10766" width="11.140625" bestFit="1" customWidth="1"/>
    <col min="11010" max="11010" width="14.42578125" bestFit="1" customWidth="1"/>
    <col min="11011" max="11011" width="8.7109375" bestFit="1" customWidth="1"/>
    <col min="11012" max="11012" width="36.7109375" bestFit="1" customWidth="1"/>
    <col min="11013" max="11013" width="15" bestFit="1" customWidth="1"/>
    <col min="11014" max="11014" width="5.140625" bestFit="1" customWidth="1"/>
    <col min="11015" max="11015" width="15" bestFit="1" customWidth="1"/>
    <col min="11016" max="11016" width="5.140625" bestFit="1" customWidth="1"/>
    <col min="11017" max="11017" width="15" bestFit="1" customWidth="1"/>
    <col min="11018" max="11018" width="5.140625" bestFit="1" customWidth="1"/>
    <col min="11019" max="11019" width="15" bestFit="1" customWidth="1"/>
    <col min="11020" max="11020" width="2.140625" bestFit="1" customWidth="1"/>
    <col min="11022" max="11022" width="11.140625" bestFit="1" customWidth="1"/>
    <col min="11266" max="11266" width="14.42578125" bestFit="1" customWidth="1"/>
    <col min="11267" max="11267" width="8.7109375" bestFit="1" customWidth="1"/>
    <col min="11268" max="11268" width="36.7109375" bestFit="1" customWidth="1"/>
    <col min="11269" max="11269" width="15" bestFit="1" customWidth="1"/>
    <col min="11270" max="11270" width="5.140625" bestFit="1" customWidth="1"/>
    <col min="11271" max="11271" width="15" bestFit="1" customWidth="1"/>
    <col min="11272" max="11272" width="5.140625" bestFit="1" customWidth="1"/>
    <col min="11273" max="11273" width="15" bestFit="1" customWidth="1"/>
    <col min="11274" max="11274" width="5.140625" bestFit="1" customWidth="1"/>
    <col min="11275" max="11275" width="15" bestFit="1" customWidth="1"/>
    <col min="11276" max="11276" width="2.140625" bestFit="1" customWidth="1"/>
    <col min="11278" max="11278" width="11.140625" bestFit="1" customWidth="1"/>
    <col min="11522" max="11522" width="14.42578125" bestFit="1" customWidth="1"/>
    <col min="11523" max="11523" width="8.7109375" bestFit="1" customWidth="1"/>
    <col min="11524" max="11524" width="36.7109375" bestFit="1" customWidth="1"/>
    <col min="11525" max="11525" width="15" bestFit="1" customWidth="1"/>
    <col min="11526" max="11526" width="5.140625" bestFit="1" customWidth="1"/>
    <col min="11527" max="11527" width="15" bestFit="1" customWidth="1"/>
    <col min="11528" max="11528" width="5.140625" bestFit="1" customWidth="1"/>
    <col min="11529" max="11529" width="15" bestFit="1" customWidth="1"/>
    <col min="11530" max="11530" width="5.140625" bestFit="1" customWidth="1"/>
    <col min="11531" max="11531" width="15" bestFit="1" customWidth="1"/>
    <col min="11532" max="11532" width="2.140625" bestFit="1" customWidth="1"/>
    <col min="11534" max="11534" width="11.140625" bestFit="1" customWidth="1"/>
    <col min="11778" max="11778" width="14.42578125" bestFit="1" customWidth="1"/>
    <col min="11779" max="11779" width="8.7109375" bestFit="1" customWidth="1"/>
    <col min="11780" max="11780" width="36.7109375" bestFit="1" customWidth="1"/>
    <col min="11781" max="11781" width="15" bestFit="1" customWidth="1"/>
    <col min="11782" max="11782" width="5.140625" bestFit="1" customWidth="1"/>
    <col min="11783" max="11783" width="15" bestFit="1" customWidth="1"/>
    <col min="11784" max="11784" width="5.140625" bestFit="1" customWidth="1"/>
    <col min="11785" max="11785" width="15" bestFit="1" customWidth="1"/>
    <col min="11786" max="11786" width="5.140625" bestFit="1" customWidth="1"/>
    <col min="11787" max="11787" width="15" bestFit="1" customWidth="1"/>
    <col min="11788" max="11788" width="2.140625" bestFit="1" customWidth="1"/>
    <col min="11790" max="11790" width="11.140625" bestFit="1" customWidth="1"/>
    <col min="12034" max="12034" width="14.42578125" bestFit="1" customWidth="1"/>
    <col min="12035" max="12035" width="8.7109375" bestFit="1" customWidth="1"/>
    <col min="12036" max="12036" width="36.7109375" bestFit="1" customWidth="1"/>
    <col min="12037" max="12037" width="15" bestFit="1" customWidth="1"/>
    <col min="12038" max="12038" width="5.140625" bestFit="1" customWidth="1"/>
    <col min="12039" max="12039" width="15" bestFit="1" customWidth="1"/>
    <col min="12040" max="12040" width="5.140625" bestFit="1" customWidth="1"/>
    <col min="12041" max="12041" width="15" bestFit="1" customWidth="1"/>
    <col min="12042" max="12042" width="5.140625" bestFit="1" customWidth="1"/>
    <col min="12043" max="12043" width="15" bestFit="1" customWidth="1"/>
    <col min="12044" max="12044" width="2.140625" bestFit="1" customWidth="1"/>
    <col min="12046" max="12046" width="11.140625" bestFit="1" customWidth="1"/>
    <col min="12290" max="12290" width="14.42578125" bestFit="1" customWidth="1"/>
    <col min="12291" max="12291" width="8.7109375" bestFit="1" customWidth="1"/>
    <col min="12292" max="12292" width="36.7109375" bestFit="1" customWidth="1"/>
    <col min="12293" max="12293" width="15" bestFit="1" customWidth="1"/>
    <col min="12294" max="12294" width="5.140625" bestFit="1" customWidth="1"/>
    <col min="12295" max="12295" width="15" bestFit="1" customWidth="1"/>
    <col min="12296" max="12296" width="5.140625" bestFit="1" customWidth="1"/>
    <col min="12297" max="12297" width="15" bestFit="1" customWidth="1"/>
    <col min="12298" max="12298" width="5.140625" bestFit="1" customWidth="1"/>
    <col min="12299" max="12299" width="15" bestFit="1" customWidth="1"/>
    <col min="12300" max="12300" width="2.140625" bestFit="1" customWidth="1"/>
    <col min="12302" max="12302" width="11.140625" bestFit="1" customWidth="1"/>
    <col min="12546" max="12546" width="14.42578125" bestFit="1" customWidth="1"/>
    <col min="12547" max="12547" width="8.7109375" bestFit="1" customWidth="1"/>
    <col min="12548" max="12548" width="36.7109375" bestFit="1" customWidth="1"/>
    <col min="12549" max="12549" width="15" bestFit="1" customWidth="1"/>
    <col min="12550" max="12550" width="5.140625" bestFit="1" customWidth="1"/>
    <col min="12551" max="12551" width="15" bestFit="1" customWidth="1"/>
    <col min="12552" max="12552" width="5.140625" bestFit="1" customWidth="1"/>
    <col min="12553" max="12553" width="15" bestFit="1" customWidth="1"/>
    <col min="12554" max="12554" width="5.140625" bestFit="1" customWidth="1"/>
    <col min="12555" max="12555" width="15" bestFit="1" customWidth="1"/>
    <col min="12556" max="12556" width="2.140625" bestFit="1" customWidth="1"/>
    <col min="12558" max="12558" width="11.140625" bestFit="1" customWidth="1"/>
    <col min="12802" max="12802" width="14.42578125" bestFit="1" customWidth="1"/>
    <col min="12803" max="12803" width="8.7109375" bestFit="1" customWidth="1"/>
    <col min="12804" max="12804" width="36.7109375" bestFit="1" customWidth="1"/>
    <col min="12805" max="12805" width="15" bestFit="1" customWidth="1"/>
    <col min="12806" max="12806" width="5.140625" bestFit="1" customWidth="1"/>
    <col min="12807" max="12807" width="15" bestFit="1" customWidth="1"/>
    <col min="12808" max="12808" width="5.140625" bestFit="1" customWidth="1"/>
    <col min="12809" max="12809" width="15" bestFit="1" customWidth="1"/>
    <col min="12810" max="12810" width="5.140625" bestFit="1" customWidth="1"/>
    <col min="12811" max="12811" width="15" bestFit="1" customWidth="1"/>
    <col min="12812" max="12812" width="2.140625" bestFit="1" customWidth="1"/>
    <col min="12814" max="12814" width="11.140625" bestFit="1" customWidth="1"/>
    <col min="13058" max="13058" width="14.42578125" bestFit="1" customWidth="1"/>
    <col min="13059" max="13059" width="8.7109375" bestFit="1" customWidth="1"/>
    <col min="13060" max="13060" width="36.7109375" bestFit="1" customWidth="1"/>
    <col min="13061" max="13061" width="15" bestFit="1" customWidth="1"/>
    <col min="13062" max="13062" width="5.140625" bestFit="1" customWidth="1"/>
    <col min="13063" max="13063" width="15" bestFit="1" customWidth="1"/>
    <col min="13064" max="13064" width="5.140625" bestFit="1" customWidth="1"/>
    <col min="13065" max="13065" width="15" bestFit="1" customWidth="1"/>
    <col min="13066" max="13066" width="5.140625" bestFit="1" customWidth="1"/>
    <col min="13067" max="13067" width="15" bestFit="1" customWidth="1"/>
    <col min="13068" max="13068" width="2.140625" bestFit="1" customWidth="1"/>
    <col min="13070" max="13070" width="11.140625" bestFit="1" customWidth="1"/>
    <col min="13314" max="13314" width="14.42578125" bestFit="1" customWidth="1"/>
    <col min="13315" max="13315" width="8.7109375" bestFit="1" customWidth="1"/>
    <col min="13316" max="13316" width="36.7109375" bestFit="1" customWidth="1"/>
    <col min="13317" max="13317" width="15" bestFit="1" customWidth="1"/>
    <col min="13318" max="13318" width="5.140625" bestFit="1" customWidth="1"/>
    <col min="13319" max="13319" width="15" bestFit="1" customWidth="1"/>
    <col min="13320" max="13320" width="5.140625" bestFit="1" customWidth="1"/>
    <col min="13321" max="13321" width="15" bestFit="1" customWidth="1"/>
    <col min="13322" max="13322" width="5.140625" bestFit="1" customWidth="1"/>
    <col min="13323" max="13323" width="15" bestFit="1" customWidth="1"/>
    <col min="13324" max="13324" width="2.140625" bestFit="1" customWidth="1"/>
    <col min="13326" max="13326" width="11.140625" bestFit="1" customWidth="1"/>
    <col min="13570" max="13570" width="14.42578125" bestFit="1" customWidth="1"/>
    <col min="13571" max="13571" width="8.7109375" bestFit="1" customWidth="1"/>
    <col min="13572" max="13572" width="36.7109375" bestFit="1" customWidth="1"/>
    <col min="13573" max="13573" width="15" bestFit="1" customWidth="1"/>
    <col min="13574" max="13574" width="5.140625" bestFit="1" customWidth="1"/>
    <col min="13575" max="13575" width="15" bestFit="1" customWidth="1"/>
    <col min="13576" max="13576" width="5.140625" bestFit="1" customWidth="1"/>
    <col min="13577" max="13577" width="15" bestFit="1" customWidth="1"/>
    <col min="13578" max="13578" width="5.140625" bestFit="1" customWidth="1"/>
    <col min="13579" max="13579" width="15" bestFit="1" customWidth="1"/>
    <col min="13580" max="13580" width="2.140625" bestFit="1" customWidth="1"/>
    <col min="13582" max="13582" width="11.140625" bestFit="1" customWidth="1"/>
    <col min="13826" max="13826" width="14.42578125" bestFit="1" customWidth="1"/>
    <col min="13827" max="13827" width="8.7109375" bestFit="1" customWidth="1"/>
    <col min="13828" max="13828" width="36.7109375" bestFit="1" customWidth="1"/>
    <col min="13829" max="13829" width="15" bestFit="1" customWidth="1"/>
    <col min="13830" max="13830" width="5.140625" bestFit="1" customWidth="1"/>
    <col min="13831" max="13831" width="15" bestFit="1" customWidth="1"/>
    <col min="13832" max="13832" width="5.140625" bestFit="1" customWidth="1"/>
    <col min="13833" max="13833" width="15" bestFit="1" customWidth="1"/>
    <col min="13834" max="13834" width="5.140625" bestFit="1" customWidth="1"/>
    <col min="13835" max="13835" width="15" bestFit="1" customWidth="1"/>
    <col min="13836" max="13836" width="2.140625" bestFit="1" customWidth="1"/>
    <col min="13838" max="13838" width="11.140625" bestFit="1" customWidth="1"/>
    <col min="14082" max="14082" width="14.42578125" bestFit="1" customWidth="1"/>
    <col min="14083" max="14083" width="8.7109375" bestFit="1" customWidth="1"/>
    <col min="14084" max="14084" width="36.7109375" bestFit="1" customWidth="1"/>
    <col min="14085" max="14085" width="15" bestFit="1" customWidth="1"/>
    <col min="14086" max="14086" width="5.140625" bestFit="1" customWidth="1"/>
    <col min="14087" max="14087" width="15" bestFit="1" customWidth="1"/>
    <col min="14088" max="14088" width="5.140625" bestFit="1" customWidth="1"/>
    <col min="14089" max="14089" width="15" bestFit="1" customWidth="1"/>
    <col min="14090" max="14090" width="5.140625" bestFit="1" customWidth="1"/>
    <col min="14091" max="14091" width="15" bestFit="1" customWidth="1"/>
    <col min="14092" max="14092" width="2.140625" bestFit="1" customWidth="1"/>
    <col min="14094" max="14094" width="11.140625" bestFit="1" customWidth="1"/>
    <col min="14338" max="14338" width="14.42578125" bestFit="1" customWidth="1"/>
    <col min="14339" max="14339" width="8.7109375" bestFit="1" customWidth="1"/>
    <col min="14340" max="14340" width="36.7109375" bestFit="1" customWidth="1"/>
    <col min="14341" max="14341" width="15" bestFit="1" customWidth="1"/>
    <col min="14342" max="14342" width="5.140625" bestFit="1" customWidth="1"/>
    <col min="14343" max="14343" width="15" bestFit="1" customWidth="1"/>
    <col min="14344" max="14344" width="5.140625" bestFit="1" customWidth="1"/>
    <col min="14345" max="14345" width="15" bestFit="1" customWidth="1"/>
    <col min="14346" max="14346" width="5.140625" bestFit="1" customWidth="1"/>
    <col min="14347" max="14347" width="15" bestFit="1" customWidth="1"/>
    <col min="14348" max="14348" width="2.140625" bestFit="1" customWidth="1"/>
    <col min="14350" max="14350" width="11.140625" bestFit="1" customWidth="1"/>
    <col min="14594" max="14594" width="14.42578125" bestFit="1" customWidth="1"/>
    <col min="14595" max="14595" width="8.7109375" bestFit="1" customWidth="1"/>
    <col min="14596" max="14596" width="36.7109375" bestFit="1" customWidth="1"/>
    <col min="14597" max="14597" width="15" bestFit="1" customWidth="1"/>
    <col min="14598" max="14598" width="5.140625" bestFit="1" customWidth="1"/>
    <col min="14599" max="14599" width="15" bestFit="1" customWidth="1"/>
    <col min="14600" max="14600" width="5.140625" bestFit="1" customWidth="1"/>
    <col min="14601" max="14601" width="15" bestFit="1" customWidth="1"/>
    <col min="14602" max="14602" width="5.140625" bestFit="1" customWidth="1"/>
    <col min="14603" max="14603" width="15" bestFit="1" customWidth="1"/>
    <col min="14604" max="14604" width="2.140625" bestFit="1" customWidth="1"/>
    <col min="14606" max="14606" width="11.140625" bestFit="1" customWidth="1"/>
    <col min="14850" max="14850" width="14.42578125" bestFit="1" customWidth="1"/>
    <col min="14851" max="14851" width="8.7109375" bestFit="1" customWidth="1"/>
    <col min="14852" max="14852" width="36.7109375" bestFit="1" customWidth="1"/>
    <col min="14853" max="14853" width="15" bestFit="1" customWidth="1"/>
    <col min="14854" max="14854" width="5.140625" bestFit="1" customWidth="1"/>
    <col min="14855" max="14855" width="15" bestFit="1" customWidth="1"/>
    <col min="14856" max="14856" width="5.140625" bestFit="1" customWidth="1"/>
    <col min="14857" max="14857" width="15" bestFit="1" customWidth="1"/>
    <col min="14858" max="14858" width="5.140625" bestFit="1" customWidth="1"/>
    <col min="14859" max="14859" width="15" bestFit="1" customWidth="1"/>
    <col min="14860" max="14860" width="2.140625" bestFit="1" customWidth="1"/>
    <col min="14862" max="14862" width="11.140625" bestFit="1" customWidth="1"/>
    <col min="15106" max="15106" width="14.42578125" bestFit="1" customWidth="1"/>
    <col min="15107" max="15107" width="8.7109375" bestFit="1" customWidth="1"/>
    <col min="15108" max="15108" width="36.7109375" bestFit="1" customWidth="1"/>
    <col min="15109" max="15109" width="15" bestFit="1" customWidth="1"/>
    <col min="15110" max="15110" width="5.140625" bestFit="1" customWidth="1"/>
    <col min="15111" max="15111" width="15" bestFit="1" customWidth="1"/>
    <col min="15112" max="15112" width="5.140625" bestFit="1" customWidth="1"/>
    <col min="15113" max="15113" width="15" bestFit="1" customWidth="1"/>
    <col min="15114" max="15114" width="5.140625" bestFit="1" customWidth="1"/>
    <col min="15115" max="15115" width="15" bestFit="1" customWidth="1"/>
    <col min="15116" max="15116" width="2.140625" bestFit="1" customWidth="1"/>
    <col min="15118" max="15118" width="11.140625" bestFit="1" customWidth="1"/>
    <col min="15362" max="15362" width="14.42578125" bestFit="1" customWidth="1"/>
    <col min="15363" max="15363" width="8.7109375" bestFit="1" customWidth="1"/>
    <col min="15364" max="15364" width="36.7109375" bestFit="1" customWidth="1"/>
    <col min="15365" max="15365" width="15" bestFit="1" customWidth="1"/>
    <col min="15366" max="15366" width="5.140625" bestFit="1" customWidth="1"/>
    <col min="15367" max="15367" width="15" bestFit="1" customWidth="1"/>
    <col min="15368" max="15368" width="5.140625" bestFit="1" customWidth="1"/>
    <col min="15369" max="15369" width="15" bestFit="1" customWidth="1"/>
    <col min="15370" max="15370" width="5.140625" bestFit="1" customWidth="1"/>
    <col min="15371" max="15371" width="15" bestFit="1" customWidth="1"/>
    <col min="15372" max="15372" width="2.140625" bestFit="1" customWidth="1"/>
    <col min="15374" max="15374" width="11.140625" bestFit="1" customWidth="1"/>
    <col min="15618" max="15618" width="14.42578125" bestFit="1" customWidth="1"/>
    <col min="15619" max="15619" width="8.7109375" bestFit="1" customWidth="1"/>
    <col min="15620" max="15620" width="36.7109375" bestFit="1" customWidth="1"/>
    <col min="15621" max="15621" width="15" bestFit="1" customWidth="1"/>
    <col min="15622" max="15622" width="5.140625" bestFit="1" customWidth="1"/>
    <col min="15623" max="15623" width="15" bestFit="1" customWidth="1"/>
    <col min="15624" max="15624" width="5.140625" bestFit="1" customWidth="1"/>
    <col min="15625" max="15625" width="15" bestFit="1" customWidth="1"/>
    <col min="15626" max="15626" width="5.140625" bestFit="1" customWidth="1"/>
    <col min="15627" max="15627" width="15" bestFit="1" customWidth="1"/>
    <col min="15628" max="15628" width="2.140625" bestFit="1" customWidth="1"/>
    <col min="15630" max="15630" width="11.140625" bestFit="1" customWidth="1"/>
    <col min="15874" max="15874" width="14.42578125" bestFit="1" customWidth="1"/>
    <col min="15875" max="15875" width="8.7109375" bestFit="1" customWidth="1"/>
    <col min="15876" max="15876" width="36.7109375" bestFit="1" customWidth="1"/>
    <col min="15877" max="15877" width="15" bestFit="1" customWidth="1"/>
    <col min="15878" max="15878" width="5.140625" bestFit="1" customWidth="1"/>
    <col min="15879" max="15879" width="15" bestFit="1" customWidth="1"/>
    <col min="15880" max="15880" width="5.140625" bestFit="1" customWidth="1"/>
    <col min="15881" max="15881" width="15" bestFit="1" customWidth="1"/>
    <col min="15882" max="15882" width="5.140625" bestFit="1" customWidth="1"/>
    <col min="15883" max="15883" width="15" bestFit="1" customWidth="1"/>
    <col min="15884" max="15884" width="2.140625" bestFit="1" customWidth="1"/>
    <col min="15886" max="15886" width="11.140625" bestFit="1" customWidth="1"/>
    <col min="16130" max="16130" width="14.42578125" bestFit="1" customWidth="1"/>
    <col min="16131" max="16131" width="8.7109375" bestFit="1" customWidth="1"/>
    <col min="16132" max="16132" width="36.7109375" bestFit="1" customWidth="1"/>
    <col min="16133" max="16133" width="15" bestFit="1" customWidth="1"/>
    <col min="16134" max="16134" width="5.140625" bestFit="1" customWidth="1"/>
    <col min="16135" max="16135" width="15" bestFit="1" customWidth="1"/>
    <col min="16136" max="16136" width="5.140625" bestFit="1" customWidth="1"/>
    <col min="16137" max="16137" width="15" bestFit="1" customWidth="1"/>
    <col min="16138" max="16138" width="5.140625" bestFit="1" customWidth="1"/>
    <col min="16139" max="16139" width="15" bestFit="1" customWidth="1"/>
    <col min="16140" max="16140" width="2.140625" bestFit="1" customWidth="1"/>
    <col min="16142" max="16142" width="11.140625" bestFit="1" customWidth="1"/>
  </cols>
  <sheetData>
    <row r="1" spans="1:20" s="5" customFormat="1" x14ac:dyDescent="0.25">
      <c r="A1" t="s">
        <v>6</v>
      </c>
      <c r="B1" t="s">
        <v>7</v>
      </c>
      <c r="C1" t="s">
        <v>8</v>
      </c>
      <c r="D1" t="s">
        <v>9</v>
      </c>
      <c r="E1"/>
      <c r="F1" t="s">
        <v>10</v>
      </c>
      <c r="G1">
        <v>1</v>
      </c>
      <c r="H1" t="s">
        <v>1125</v>
      </c>
      <c r="I1">
        <v>0</v>
      </c>
      <c r="J1" t="s">
        <v>1126</v>
      </c>
      <c r="K1"/>
      <c r="L1"/>
      <c r="N1" s="7" t="s">
        <v>13</v>
      </c>
      <c r="P1" s="7"/>
      <c r="R1" s="7" t="s">
        <v>1127</v>
      </c>
      <c r="T1" s="7" t="s">
        <v>1128</v>
      </c>
    </row>
    <row r="2" spans="1:20" s="5" customFormat="1" x14ac:dyDescent="0.25">
      <c r="A2" t="s">
        <v>14</v>
      </c>
      <c r="B2">
        <v>-62</v>
      </c>
      <c r="C2"/>
      <c r="D2"/>
      <c r="E2"/>
      <c r="F2"/>
      <c r="G2"/>
      <c r="H2" t="s">
        <v>15</v>
      </c>
      <c r="I2" t="s">
        <v>16</v>
      </c>
      <c r="J2" t="s">
        <v>1129</v>
      </c>
      <c r="K2"/>
      <c r="L2"/>
      <c r="N2" s="6" t="str">
        <f>IF(ISERROR(VLOOKUP($A2,'Plano de Contas'!#REF!,8,FALSE)),"",VLOOKUP($A2,'Plano de Contas'!#REF!,8,FALSE))</f>
        <v/>
      </c>
      <c r="P2" s="6"/>
      <c r="R2" s="6"/>
      <c r="T2" s="6"/>
    </row>
    <row r="3" spans="1:20" s="5" customFormat="1" x14ac:dyDescent="0.25">
      <c r="A3"/>
      <c r="B3"/>
      <c r="C3"/>
      <c r="D3"/>
      <c r="E3"/>
      <c r="F3"/>
      <c r="G3"/>
      <c r="H3"/>
      <c r="I3"/>
      <c r="J3" t="s">
        <v>1130</v>
      </c>
      <c r="K3">
        <v>1</v>
      </c>
      <c r="L3"/>
      <c r="N3" s="6" t="str">
        <f>IF(ISERROR(VLOOKUP($A3,'Plano de Contas'!#REF!,8,FALSE)),"",VLOOKUP($A3,'Plano de Contas'!#REF!,8,FALSE))</f>
        <v/>
      </c>
      <c r="P3" s="6"/>
      <c r="R3" s="6"/>
      <c r="T3" s="6"/>
    </row>
    <row r="4" spans="1:20" s="5" customFormat="1" x14ac:dyDescent="0.25">
      <c r="A4" t="s">
        <v>19</v>
      </c>
      <c r="B4" t="s">
        <v>20</v>
      </c>
      <c r="C4" t="s">
        <v>21</v>
      </c>
      <c r="D4" t="s">
        <v>22</v>
      </c>
      <c r="E4" t="s">
        <v>23</v>
      </c>
      <c r="F4" t="s">
        <v>24</v>
      </c>
      <c r="G4" t="s">
        <v>25</v>
      </c>
      <c r="H4" t="s">
        <v>26</v>
      </c>
      <c r="I4" t="s">
        <v>25</v>
      </c>
      <c r="J4" t="s">
        <v>27</v>
      </c>
      <c r="K4" t="s">
        <v>25</v>
      </c>
      <c r="L4" t="s">
        <v>28</v>
      </c>
      <c r="N4" s="6" t="str">
        <f>IF(ISERROR(VLOOKUP($A4,'Plano de Contas'!#REF!,8,FALSE)),"",VLOOKUP($A4,'Plano de Contas'!#REF!,8,FALSE))</f>
        <v/>
      </c>
      <c r="P4" s="6"/>
      <c r="R4" s="6"/>
      <c r="T4" s="6"/>
    </row>
    <row r="5" spans="1:20" s="5" customFormat="1" x14ac:dyDescent="0.25">
      <c r="A5" t="s">
        <v>29</v>
      </c>
      <c r="B5" t="s">
        <v>30</v>
      </c>
      <c r="C5" t="s">
        <v>31</v>
      </c>
      <c r="D5" t="s">
        <v>32</v>
      </c>
      <c r="E5" t="s">
        <v>33</v>
      </c>
      <c r="F5" t="s">
        <v>32</v>
      </c>
      <c r="G5" t="s">
        <v>33</v>
      </c>
      <c r="H5" t="s">
        <v>32</v>
      </c>
      <c r="I5" t="s">
        <v>33</v>
      </c>
      <c r="J5" t="s">
        <v>32</v>
      </c>
      <c r="K5" t="s">
        <v>33</v>
      </c>
      <c r="L5"/>
      <c r="N5" s="6" t="str">
        <f>IF(ISERROR(VLOOKUP($A5,'Plano de Contas'!#REF!,8,FALSE)),"",VLOOKUP($A5,'Plano de Contas'!#REF!,8,FALSE))</f>
        <v/>
      </c>
      <c r="P5" s="6" t="str">
        <f>IF(ISERROR(VLOOKUP($A5,'Plano de Contas'!#REF!,10,FALSE)),"",VLOOKUP($A5,'Plano de Contas'!#REF!,10,FALSE))</f>
        <v/>
      </c>
      <c r="R5" s="6" t="e">
        <f>VLOOKUP(A5,'Plano de Contas'!#REF!,12,FALSE)</f>
        <v>#REF!</v>
      </c>
      <c r="T5" s="6" t="e">
        <f>VLOOKUP(A5,'Plano de Contas'!#REF!,13,FALSE)</f>
        <v>#REF!</v>
      </c>
    </row>
    <row r="6" spans="1:20" s="5" customFormat="1" x14ac:dyDescent="0.25">
      <c r="A6"/>
      <c r="B6"/>
      <c r="C6"/>
      <c r="D6"/>
      <c r="E6"/>
      <c r="F6"/>
      <c r="G6"/>
      <c r="H6"/>
      <c r="I6"/>
      <c r="J6" s="63"/>
      <c r="K6"/>
      <c r="L6"/>
      <c r="N6" s="6" t="str">
        <f>IF(ISERROR(VLOOKUP($A6,'Plano de Contas'!#REF!,8,FALSE)),"",VLOOKUP($A6,'Plano de Contas'!#REF!,8,FALSE))</f>
        <v/>
      </c>
      <c r="P6" s="6" t="str">
        <f>IF(ISERROR(VLOOKUP($A6,'Plano de Contas'!#REF!,10,FALSE)),"",VLOOKUP($A6,'Plano de Contas'!#REF!,10,FALSE))</f>
        <v/>
      </c>
      <c r="R6" s="6" t="e">
        <f>VLOOKUP(A6,'Plano de Contas'!#REF!,12,FALSE)</f>
        <v>#REF!</v>
      </c>
      <c r="T6" s="6" t="e">
        <f>VLOOKUP(A6,'Plano de Contas'!#REF!,13,FALSE)</f>
        <v>#REF!</v>
      </c>
    </row>
    <row r="7" spans="1:20" s="5" customFormat="1" x14ac:dyDescent="0.25">
      <c r="A7">
        <v>1</v>
      </c>
      <c r="B7">
        <v>1</v>
      </c>
      <c r="C7" t="s">
        <v>34</v>
      </c>
      <c r="D7" s="10">
        <v>5261595777.8900003</v>
      </c>
      <c r="E7"/>
      <c r="F7" s="10">
        <v>116351000.13</v>
      </c>
      <c r="G7"/>
      <c r="H7" s="10">
        <v>128053795.52</v>
      </c>
      <c r="I7" t="s">
        <v>35</v>
      </c>
      <c r="J7" s="10">
        <v>5249892982.5</v>
      </c>
      <c r="K7"/>
      <c r="L7" s="1">
        <f>IF(K7="-",-J7,J7)</f>
        <v>5249892982.5</v>
      </c>
      <c r="N7" s="6" t="str">
        <f>IF(ISERROR(VLOOKUP($A7,'Plano de Contas'!#REF!,8,FALSE)),"",VLOOKUP($A7,'Plano de Contas'!#REF!,8,FALSE))</f>
        <v/>
      </c>
      <c r="P7" s="6" t="str">
        <f>IF(ISERROR(VLOOKUP($A7,'Plano de Contas'!#REF!,10,FALSE)),"",VLOOKUP($A7,'Plano de Contas'!#REF!,10,FALSE))</f>
        <v/>
      </c>
      <c r="R7" s="6" t="e">
        <f>VLOOKUP(A7,'Plano de Contas'!#REF!,12,FALSE)</f>
        <v>#REF!</v>
      </c>
      <c r="T7" s="6" t="e">
        <f>VLOOKUP(A7,'Plano de Contas'!#REF!,13,FALSE)</f>
        <v>#REF!</v>
      </c>
    </row>
    <row r="8" spans="1:20" s="5" customFormat="1" x14ac:dyDescent="0.25">
      <c r="A8"/>
      <c r="B8"/>
      <c r="C8"/>
      <c r="D8"/>
      <c r="E8"/>
      <c r="F8"/>
      <c r="G8"/>
      <c r="H8"/>
      <c r="I8"/>
      <c r="J8"/>
      <c r="K8"/>
      <c r="L8" s="1">
        <f t="shared" ref="L8:L71" si="0">IF(K8="-",-J8,J8)</f>
        <v>0</v>
      </c>
      <c r="N8" s="6" t="str">
        <f>IF(ISERROR(VLOOKUP($A8,'Plano de Contas'!#REF!,8,FALSE)),"",VLOOKUP($A8,'Plano de Contas'!#REF!,8,FALSE))</f>
        <v/>
      </c>
      <c r="P8" s="6" t="str">
        <f>IF(ISERROR(VLOOKUP($A8,'Plano de Contas'!#REF!,10,FALSE)),"",VLOOKUP($A8,'Plano de Contas'!#REF!,10,FALSE))</f>
        <v/>
      </c>
      <c r="R8" s="6" t="e">
        <f>VLOOKUP(A8,'Plano de Contas'!#REF!,12,FALSE)</f>
        <v>#REF!</v>
      </c>
      <c r="T8" s="6" t="e">
        <f>VLOOKUP(A8,'Plano de Contas'!#REF!,13,FALSE)</f>
        <v>#REF!</v>
      </c>
    </row>
    <row r="9" spans="1:20" s="5" customFormat="1" x14ac:dyDescent="0.25">
      <c r="A9" t="s">
        <v>36</v>
      </c>
      <c r="B9">
        <v>2</v>
      </c>
      <c r="C9" t="s">
        <v>37</v>
      </c>
      <c r="D9" s="10">
        <v>96926531.209999993</v>
      </c>
      <c r="E9"/>
      <c r="F9" s="10">
        <v>49990183.57</v>
      </c>
      <c r="G9"/>
      <c r="H9" s="10">
        <v>61710775.289999999</v>
      </c>
      <c r="I9" t="s">
        <v>35</v>
      </c>
      <c r="J9" s="10">
        <v>85205939.489999995</v>
      </c>
      <c r="K9"/>
      <c r="L9" s="1">
        <f t="shared" si="0"/>
        <v>85205939.489999995</v>
      </c>
      <c r="N9" s="6" t="str">
        <f>IF(ISERROR(VLOOKUP($A9,'Plano de Contas'!#REF!,8,FALSE)),"",VLOOKUP($A9,'Plano de Contas'!#REF!,8,FALSE))</f>
        <v/>
      </c>
      <c r="P9" s="6" t="str">
        <f>IF(ISERROR(VLOOKUP($A9,'Plano de Contas'!#REF!,10,FALSE)),"",VLOOKUP($A9,'Plano de Contas'!#REF!,10,FALSE))</f>
        <v/>
      </c>
      <c r="R9" s="6" t="e">
        <f>VLOOKUP(A9,'Plano de Contas'!#REF!,12,FALSE)</f>
        <v>#REF!</v>
      </c>
      <c r="T9" s="6" t="e">
        <f>VLOOKUP(A9,'Plano de Contas'!#REF!,13,FALSE)</f>
        <v>#REF!</v>
      </c>
    </row>
    <row r="10" spans="1:20" s="5" customFormat="1" x14ac:dyDescent="0.25">
      <c r="A10"/>
      <c r="B10"/>
      <c r="C10"/>
      <c r="D10"/>
      <c r="E10"/>
      <c r="F10"/>
      <c r="G10"/>
      <c r="H10"/>
      <c r="I10"/>
      <c r="J10"/>
      <c r="K10"/>
      <c r="L10" s="1">
        <f t="shared" si="0"/>
        <v>0</v>
      </c>
      <c r="N10" s="6" t="str">
        <f>IF(ISERROR(VLOOKUP($A10,'Plano de Contas'!#REF!,8,FALSE)),"",VLOOKUP($A10,'Plano de Contas'!#REF!,8,FALSE))</f>
        <v/>
      </c>
      <c r="P10" s="6" t="str">
        <f>IF(ISERROR(VLOOKUP($A10,'Plano de Contas'!#REF!,10,FALSE)),"",VLOOKUP($A10,'Plano de Contas'!#REF!,10,FALSE))</f>
        <v/>
      </c>
      <c r="R10" s="6" t="e">
        <f>VLOOKUP(A10,'Plano de Contas'!#REF!,12,FALSE)</f>
        <v>#REF!</v>
      </c>
      <c r="T10" s="6" t="e">
        <f>VLOOKUP(A10,'Plano de Contas'!#REF!,13,FALSE)</f>
        <v>#REF!</v>
      </c>
    </row>
    <row r="11" spans="1:20" s="5" customFormat="1" x14ac:dyDescent="0.25">
      <c r="A11" t="s">
        <v>38</v>
      </c>
      <c r="B11">
        <v>3</v>
      </c>
      <c r="C11" t="s">
        <v>39</v>
      </c>
      <c r="D11" s="10">
        <v>68623000.719999999</v>
      </c>
      <c r="E11"/>
      <c r="F11" s="10">
        <v>31189029.219999999</v>
      </c>
      <c r="G11"/>
      <c r="H11" s="10">
        <v>36308861.520000003</v>
      </c>
      <c r="I11" t="s">
        <v>35</v>
      </c>
      <c r="J11" s="10">
        <v>63503168.420000002</v>
      </c>
      <c r="K11"/>
      <c r="L11" s="1">
        <f t="shared" si="0"/>
        <v>63503168.420000002</v>
      </c>
      <c r="N11" s="6" t="str">
        <f>IF(ISERROR(VLOOKUP($A11,'Plano de Contas'!#REF!,8,FALSE)),"",VLOOKUP($A11,'Plano de Contas'!#REF!,8,FALSE))</f>
        <v/>
      </c>
      <c r="P11" s="6" t="str">
        <f>IF(ISERROR(VLOOKUP($A11,'Plano de Contas'!#REF!,10,FALSE)),"",VLOOKUP($A11,'Plano de Contas'!#REF!,10,FALSE))</f>
        <v/>
      </c>
      <c r="R11" s="6" t="e">
        <f>VLOOKUP(A11,'Plano de Contas'!#REF!,12,FALSE)</f>
        <v>#REF!</v>
      </c>
      <c r="T11" s="6" t="e">
        <f>VLOOKUP(A11,'Plano de Contas'!#REF!,13,FALSE)</f>
        <v>#REF!</v>
      </c>
    </row>
    <row r="12" spans="1:20" s="5" customFormat="1" x14ac:dyDescent="0.25">
      <c r="A12"/>
      <c r="B12"/>
      <c r="C12"/>
      <c r="D12"/>
      <c r="E12"/>
      <c r="F12"/>
      <c r="G12"/>
      <c r="H12"/>
      <c r="I12"/>
      <c r="J12"/>
      <c r="K12"/>
      <c r="L12" s="1">
        <f t="shared" si="0"/>
        <v>0</v>
      </c>
      <c r="N12" s="6" t="str">
        <f>IF(ISERROR(VLOOKUP($A12,'Plano de Contas'!#REF!,8,FALSE)),"",VLOOKUP($A12,'Plano de Contas'!#REF!,8,FALSE))</f>
        <v/>
      </c>
      <c r="P12" s="6" t="str">
        <f>IF(ISERROR(VLOOKUP($A12,'Plano de Contas'!#REF!,10,FALSE)),"",VLOOKUP($A12,'Plano de Contas'!#REF!,10,FALSE))</f>
        <v/>
      </c>
      <c r="R12" s="6" t="e">
        <f>VLOOKUP(A12,'Plano de Contas'!#REF!,12,FALSE)</f>
        <v>#REF!</v>
      </c>
      <c r="T12" s="6" t="e">
        <f>VLOOKUP(A12,'Plano de Contas'!#REF!,13,FALSE)</f>
        <v>#REF!</v>
      </c>
    </row>
    <row r="13" spans="1:20" s="5" customFormat="1" x14ac:dyDescent="0.25">
      <c r="A13" t="s">
        <v>40</v>
      </c>
      <c r="B13">
        <v>4</v>
      </c>
      <c r="C13" t="s">
        <v>41</v>
      </c>
      <c r="D13" s="10">
        <v>1445.12</v>
      </c>
      <c r="E13"/>
      <c r="F13" s="10">
        <v>2722.24</v>
      </c>
      <c r="G13"/>
      <c r="H13" s="10">
        <v>2862.84</v>
      </c>
      <c r="I13" t="s">
        <v>35</v>
      </c>
      <c r="J13" s="10">
        <v>1304.52</v>
      </c>
      <c r="K13"/>
      <c r="L13" s="1">
        <f t="shared" si="0"/>
        <v>1304.52</v>
      </c>
      <c r="N13" s="6" t="str">
        <f>IF(ISERROR(VLOOKUP($A13,'Plano de Contas'!#REF!,8,FALSE)),"",VLOOKUP($A13,'Plano de Contas'!#REF!,8,FALSE))</f>
        <v/>
      </c>
      <c r="P13" s="6" t="str">
        <f>IF(ISERROR(VLOOKUP($A13,'Plano de Contas'!#REF!,10,FALSE)),"",VLOOKUP($A13,'Plano de Contas'!#REF!,10,FALSE))</f>
        <v/>
      </c>
      <c r="R13" s="6" t="e">
        <f>VLOOKUP(A13,'Plano de Contas'!#REF!,12,FALSE)</f>
        <v>#REF!</v>
      </c>
      <c r="T13" s="6" t="e">
        <f>VLOOKUP(A13,'Plano de Contas'!#REF!,13,FALSE)</f>
        <v>#REF!</v>
      </c>
    </row>
    <row r="14" spans="1:20" s="5" customFormat="1" x14ac:dyDescent="0.25">
      <c r="A14" t="s">
        <v>42</v>
      </c>
      <c r="B14">
        <v>6</v>
      </c>
      <c r="C14" t="s">
        <v>43</v>
      </c>
      <c r="D14" s="10">
        <v>1445.12</v>
      </c>
      <c r="E14"/>
      <c r="F14" s="10">
        <v>2722.24</v>
      </c>
      <c r="G14"/>
      <c r="H14" s="10">
        <v>2862.84</v>
      </c>
      <c r="I14" t="s">
        <v>35</v>
      </c>
      <c r="J14" s="10">
        <v>1304.52</v>
      </c>
      <c r="K14"/>
      <c r="L14" s="1">
        <f t="shared" si="0"/>
        <v>1304.52</v>
      </c>
      <c r="N14" s="6" t="str">
        <f>IF(ISERROR(VLOOKUP($A14,'Plano de Contas'!#REF!,8,FALSE)),"",VLOOKUP($A14,'Plano de Contas'!#REF!,8,FALSE))</f>
        <v/>
      </c>
      <c r="P14" s="6" t="str">
        <f>IF(ISERROR(VLOOKUP($A14,'Plano de Contas'!#REF!,10,FALSE)),"",VLOOKUP($A14,'Plano de Contas'!#REF!,10,FALSE))</f>
        <v/>
      </c>
      <c r="R14" s="6" t="e">
        <f>VLOOKUP(A14,'Plano de Contas'!#REF!,12,FALSE)</f>
        <v>#REF!</v>
      </c>
      <c r="T14" s="6" t="e">
        <f>VLOOKUP(A14,'Plano de Contas'!#REF!,13,FALSE)</f>
        <v>#REF!</v>
      </c>
    </row>
    <row r="15" spans="1:20" s="5" customFormat="1" x14ac:dyDescent="0.25">
      <c r="A15"/>
      <c r="B15"/>
      <c r="C15"/>
      <c r="D15"/>
      <c r="E15"/>
      <c r="F15"/>
      <c r="G15"/>
      <c r="H15"/>
      <c r="I15"/>
      <c r="J15"/>
      <c r="K15"/>
      <c r="L15" s="1">
        <f t="shared" si="0"/>
        <v>0</v>
      </c>
      <c r="N15" s="6" t="str">
        <f>IF(ISERROR(VLOOKUP($A15,'Plano de Contas'!#REF!,8,FALSE)),"",VLOOKUP($A15,'Plano de Contas'!#REF!,8,FALSE))</f>
        <v/>
      </c>
      <c r="P15" s="6" t="str">
        <f>IF(ISERROR(VLOOKUP($A15,'Plano de Contas'!#REF!,10,FALSE)),"",VLOOKUP($A15,'Plano de Contas'!#REF!,10,FALSE))</f>
        <v/>
      </c>
      <c r="R15" s="6" t="e">
        <f>VLOOKUP(A15,'Plano de Contas'!#REF!,12,FALSE)</f>
        <v>#REF!</v>
      </c>
      <c r="T15" s="6" t="e">
        <f>VLOOKUP(A15,'Plano de Contas'!#REF!,13,FALSE)</f>
        <v>#REF!</v>
      </c>
    </row>
    <row r="16" spans="1:20" s="5" customFormat="1" x14ac:dyDescent="0.25">
      <c r="A16" t="s">
        <v>44</v>
      </c>
      <c r="B16">
        <v>7</v>
      </c>
      <c r="C16" t="s">
        <v>45</v>
      </c>
      <c r="D16" s="10">
        <v>7192140.3899999997</v>
      </c>
      <c r="E16"/>
      <c r="F16" s="10">
        <v>20863564.100000001</v>
      </c>
      <c r="G16"/>
      <c r="H16" s="10">
        <v>27584597.66</v>
      </c>
      <c r="I16" t="s">
        <v>35</v>
      </c>
      <c r="J16" s="10">
        <v>471106.83</v>
      </c>
      <c r="K16"/>
      <c r="L16" s="1">
        <f t="shared" si="0"/>
        <v>471106.83</v>
      </c>
      <c r="N16" s="6" t="str">
        <f>IF(ISERROR(VLOOKUP($A16,'Plano de Contas'!#REF!,8,FALSE)),"",VLOOKUP($A16,'Plano de Contas'!#REF!,8,FALSE))</f>
        <v/>
      </c>
      <c r="P16" s="6" t="str">
        <f>IF(ISERROR(VLOOKUP($A16,'Plano de Contas'!#REF!,10,FALSE)),"",VLOOKUP($A16,'Plano de Contas'!#REF!,10,FALSE))</f>
        <v/>
      </c>
      <c r="R16" s="6" t="e">
        <f>VLOOKUP(A16,'Plano de Contas'!#REF!,12,FALSE)</f>
        <v>#REF!</v>
      </c>
      <c r="T16" s="6" t="e">
        <f>VLOOKUP(A16,'Plano de Contas'!#REF!,13,FALSE)</f>
        <v>#REF!</v>
      </c>
    </row>
    <row r="17" spans="1:20" s="5" customFormat="1" x14ac:dyDescent="0.25">
      <c r="A17" t="s">
        <v>48</v>
      </c>
      <c r="B17">
        <v>12</v>
      </c>
      <c r="C17" t="s">
        <v>49</v>
      </c>
      <c r="D17" s="10">
        <v>34523.26</v>
      </c>
      <c r="E17"/>
      <c r="F17" s="10">
        <v>2662331.33</v>
      </c>
      <c r="G17"/>
      <c r="H17" s="10">
        <v>2697254.59</v>
      </c>
      <c r="I17" t="s">
        <v>35</v>
      </c>
      <c r="J17">
        <v>400</v>
      </c>
      <c r="K17" t="s">
        <v>35</v>
      </c>
      <c r="L17" s="1">
        <f t="shared" si="0"/>
        <v>-400</v>
      </c>
      <c r="N17" s="6" t="str">
        <f>IF(ISERROR(VLOOKUP($A17,'Plano de Contas'!#REF!,8,FALSE)),"",VLOOKUP($A17,'Plano de Contas'!#REF!,8,FALSE))</f>
        <v/>
      </c>
      <c r="P17" s="6" t="str">
        <f>IF(ISERROR(VLOOKUP($A17,'Plano de Contas'!#REF!,10,FALSE)),"",VLOOKUP($A17,'Plano de Contas'!#REF!,10,FALSE))</f>
        <v/>
      </c>
      <c r="R17" s="6" t="e">
        <f>VLOOKUP(A17,'Plano de Contas'!#REF!,12,FALSE)</f>
        <v>#REF!</v>
      </c>
      <c r="T17" s="6" t="e">
        <f>VLOOKUP(A17,'Plano de Contas'!#REF!,13,FALSE)</f>
        <v>#REF!</v>
      </c>
    </row>
    <row r="18" spans="1:20" s="5" customFormat="1" x14ac:dyDescent="0.25">
      <c r="A18" t="s">
        <v>62</v>
      </c>
      <c r="B18">
        <v>725</v>
      </c>
      <c r="C18" t="s">
        <v>63</v>
      </c>
      <c r="D18" s="10">
        <v>2858448.48</v>
      </c>
      <c r="E18"/>
      <c r="F18" s="10">
        <v>3370644.56</v>
      </c>
      <c r="G18"/>
      <c r="H18" s="10">
        <v>6040954.8200000003</v>
      </c>
      <c r="I18" t="s">
        <v>35</v>
      </c>
      <c r="J18" s="10">
        <v>188138.22</v>
      </c>
      <c r="K18"/>
      <c r="L18" s="1">
        <f t="shared" si="0"/>
        <v>188138.22</v>
      </c>
      <c r="N18" s="6" t="str">
        <f>IF(ISERROR(VLOOKUP($A18,'Plano de Contas'!#REF!,8,FALSE)),"",VLOOKUP($A18,'Plano de Contas'!#REF!,8,FALSE))</f>
        <v/>
      </c>
      <c r="P18" s="6" t="str">
        <f>IF(ISERROR(VLOOKUP($A18,'Plano de Contas'!#REF!,10,FALSE)),"",VLOOKUP($A18,'Plano de Contas'!#REF!,10,FALSE))</f>
        <v/>
      </c>
      <c r="R18" s="6" t="e">
        <f>VLOOKUP(A18,'Plano de Contas'!#REF!,12,FALSE)</f>
        <v>#REF!</v>
      </c>
      <c r="T18" s="6" t="e">
        <f>VLOOKUP(A18,'Plano de Contas'!#REF!,13,FALSE)</f>
        <v>#REF!</v>
      </c>
    </row>
    <row r="19" spans="1:20" s="5" customFormat="1" x14ac:dyDescent="0.25">
      <c r="A19" t="s">
        <v>64</v>
      </c>
      <c r="B19">
        <v>727</v>
      </c>
      <c r="C19" t="s">
        <v>65</v>
      </c>
      <c r="D19" s="10">
        <v>8666.52</v>
      </c>
      <c r="E19"/>
      <c r="F19" s="10">
        <v>194150.79</v>
      </c>
      <c r="G19"/>
      <c r="H19" s="10">
        <v>194189.79</v>
      </c>
      <c r="I19" t="s">
        <v>35</v>
      </c>
      <c r="J19" s="10">
        <v>8627.52</v>
      </c>
      <c r="K19"/>
      <c r="L19" s="1">
        <f t="shared" si="0"/>
        <v>8627.52</v>
      </c>
      <c r="N19" s="6" t="str">
        <f>IF(ISERROR(VLOOKUP($A19,'Plano de Contas'!#REF!,8,FALSE)),"",VLOOKUP($A19,'Plano de Contas'!#REF!,8,FALSE))</f>
        <v/>
      </c>
      <c r="P19" s="6" t="str">
        <f>IF(ISERROR(VLOOKUP($A19,'Plano de Contas'!#REF!,10,FALSE)),"",VLOOKUP($A19,'Plano de Contas'!#REF!,10,FALSE))</f>
        <v/>
      </c>
      <c r="R19" s="6" t="e">
        <f>VLOOKUP(A19,'Plano de Contas'!#REF!,12,FALSE)</f>
        <v>#REF!</v>
      </c>
      <c r="T19" s="6" t="e">
        <f>VLOOKUP(A19,'Plano de Contas'!#REF!,13,FALSE)</f>
        <v>#REF!</v>
      </c>
    </row>
    <row r="20" spans="1:20" s="5" customFormat="1" x14ac:dyDescent="0.25">
      <c r="A20" t="s">
        <v>66</v>
      </c>
      <c r="B20">
        <v>728</v>
      </c>
      <c r="C20" t="s">
        <v>67</v>
      </c>
      <c r="D20" s="10">
        <v>4191.04</v>
      </c>
      <c r="E20"/>
      <c r="F20" s="10">
        <v>0</v>
      </c>
      <c r="G20"/>
      <c r="H20" s="10">
        <v>0</v>
      </c>
      <c r="I20"/>
      <c r="J20" s="10">
        <v>4191.04</v>
      </c>
      <c r="K20"/>
      <c r="L20" s="1">
        <f t="shared" si="0"/>
        <v>4191.04</v>
      </c>
      <c r="N20" s="6" t="str">
        <f>IF(ISERROR(VLOOKUP($A20,'Plano de Contas'!#REF!,8,FALSE)),"",VLOOKUP($A20,'Plano de Contas'!#REF!,8,FALSE))</f>
        <v/>
      </c>
      <c r="P20" s="6" t="str">
        <f>IF(ISERROR(VLOOKUP($A20,'Plano de Contas'!#REF!,10,FALSE)),"",VLOOKUP($A20,'Plano de Contas'!#REF!,10,FALSE))</f>
        <v/>
      </c>
      <c r="R20" s="6" t="e">
        <f>VLOOKUP(A20,'Plano de Contas'!#REF!,12,FALSE)</f>
        <v>#REF!</v>
      </c>
      <c r="T20" s="6" t="e">
        <f>VLOOKUP(A20,'Plano de Contas'!#REF!,13,FALSE)</f>
        <v>#REF!</v>
      </c>
    </row>
    <row r="21" spans="1:20" s="5" customFormat="1" x14ac:dyDescent="0.25">
      <c r="A21" t="s">
        <v>68</v>
      </c>
      <c r="B21">
        <v>730</v>
      </c>
      <c r="C21" t="s">
        <v>69</v>
      </c>
      <c r="D21" s="10">
        <v>30709.74</v>
      </c>
      <c r="E21"/>
      <c r="F21">
        <v>0</v>
      </c>
      <c r="G21"/>
      <c r="H21">
        <v>0</v>
      </c>
      <c r="I21"/>
      <c r="J21" s="10">
        <v>30709.74</v>
      </c>
      <c r="K21"/>
      <c r="L21" s="1">
        <f t="shared" si="0"/>
        <v>30709.74</v>
      </c>
      <c r="N21" s="6" t="str">
        <f>IF(ISERROR(VLOOKUP($A21,'Plano de Contas'!#REF!,8,FALSE)),"",VLOOKUP($A21,'Plano de Contas'!#REF!,8,FALSE))</f>
        <v/>
      </c>
      <c r="P21" s="6" t="str">
        <f>IF(ISERROR(VLOOKUP($A21,'Plano de Contas'!#REF!,10,FALSE)),"",VLOOKUP($A21,'Plano de Contas'!#REF!,10,FALSE))</f>
        <v/>
      </c>
      <c r="R21" s="6" t="e">
        <f>VLOOKUP(A21,'Plano de Contas'!#REF!,12,FALSE)</f>
        <v>#REF!</v>
      </c>
      <c r="T21" s="6" t="e">
        <f>VLOOKUP(A21,'Plano de Contas'!#REF!,13,FALSE)</f>
        <v>#REF!</v>
      </c>
    </row>
    <row r="22" spans="1:20" s="5" customFormat="1" x14ac:dyDescent="0.25">
      <c r="A22" t="s">
        <v>983</v>
      </c>
      <c r="B22">
        <v>918</v>
      </c>
      <c r="C22" t="s">
        <v>984</v>
      </c>
      <c r="D22" s="10">
        <v>37684.54</v>
      </c>
      <c r="E22"/>
      <c r="F22">
        <v>0</v>
      </c>
      <c r="G22"/>
      <c r="H22" s="10">
        <v>0</v>
      </c>
      <c r="I22"/>
      <c r="J22" s="10">
        <v>37684.54</v>
      </c>
      <c r="K22"/>
      <c r="L22" s="1">
        <f t="shared" si="0"/>
        <v>37684.54</v>
      </c>
      <c r="N22" s="6" t="str">
        <f>IF(ISERROR(VLOOKUP($A22,'Plano de Contas'!#REF!,8,FALSE)),"",VLOOKUP($A22,'Plano de Contas'!#REF!,8,FALSE))</f>
        <v/>
      </c>
      <c r="P22" s="6" t="str">
        <f>IF(ISERROR(VLOOKUP($A22,'Plano de Contas'!#REF!,10,FALSE)),"",VLOOKUP($A22,'Plano de Contas'!#REF!,10,FALSE))</f>
        <v/>
      </c>
      <c r="R22" s="6" t="e">
        <f>VLOOKUP(A22,'Plano de Contas'!#REF!,12,FALSE)</f>
        <v>#REF!</v>
      </c>
      <c r="T22" s="6" t="e">
        <f>VLOOKUP(A22,'Plano de Contas'!#REF!,13,FALSE)</f>
        <v>#REF!</v>
      </c>
    </row>
    <row r="23" spans="1:20" s="5" customFormat="1" x14ac:dyDescent="0.25">
      <c r="A23" t="s">
        <v>76</v>
      </c>
      <c r="B23">
        <v>919</v>
      </c>
      <c r="C23" t="s">
        <v>77</v>
      </c>
      <c r="D23" s="10">
        <v>4199610.6100000003</v>
      </c>
      <c r="E23"/>
      <c r="F23" s="10">
        <v>11945047.99</v>
      </c>
      <c r="G23"/>
      <c r="H23" s="10">
        <v>15939046.810000001</v>
      </c>
      <c r="I23" t="s">
        <v>35</v>
      </c>
      <c r="J23" s="10">
        <v>205611.79</v>
      </c>
      <c r="K23"/>
      <c r="L23" s="1">
        <f t="shared" si="0"/>
        <v>205611.79</v>
      </c>
      <c r="N23" s="6" t="str">
        <f>IF(ISERROR(VLOOKUP($A23,'Plano de Contas'!#REF!,8,FALSE)),"",VLOOKUP($A23,'Plano de Contas'!#REF!,8,FALSE))</f>
        <v/>
      </c>
      <c r="P23" s="6" t="str">
        <f>IF(ISERROR(VLOOKUP($A23,'Plano de Contas'!#REF!,10,FALSE)),"",VLOOKUP($A23,'Plano de Contas'!#REF!,10,FALSE))</f>
        <v/>
      </c>
      <c r="R23" s="6" t="e">
        <f>VLOOKUP(A23,'Plano de Contas'!#REF!,12,FALSE)</f>
        <v>#REF!</v>
      </c>
      <c r="T23" s="6" t="e">
        <f>VLOOKUP(A23,'Plano de Contas'!#REF!,13,FALSE)</f>
        <v>#REF!</v>
      </c>
    </row>
    <row r="24" spans="1:20" s="5" customFormat="1" x14ac:dyDescent="0.25">
      <c r="A24" t="s">
        <v>80</v>
      </c>
      <c r="B24">
        <v>931</v>
      </c>
      <c r="C24" t="s">
        <v>81</v>
      </c>
      <c r="D24" s="10">
        <v>22556.2</v>
      </c>
      <c r="E24"/>
      <c r="F24" s="10">
        <v>2648889.4300000002</v>
      </c>
      <c r="G24"/>
      <c r="H24" s="10">
        <v>2671401.65</v>
      </c>
      <c r="I24" t="s">
        <v>35</v>
      </c>
      <c r="J24" s="10">
        <v>43.98</v>
      </c>
      <c r="K24"/>
      <c r="L24" s="1">
        <f t="shared" si="0"/>
        <v>43.98</v>
      </c>
      <c r="N24" s="6" t="str">
        <f>IF(ISERROR(VLOOKUP($A24,'Plano de Contas'!#REF!,8,FALSE)),"",VLOOKUP($A24,'Plano de Contas'!#REF!,8,FALSE))</f>
        <v/>
      </c>
      <c r="P24" s="6" t="str">
        <f>IF(ISERROR(VLOOKUP($A24,'Plano de Contas'!#REF!,10,FALSE)),"",VLOOKUP($A24,'Plano de Contas'!#REF!,10,FALSE))</f>
        <v/>
      </c>
      <c r="R24" s="6" t="e">
        <f>VLOOKUP(A24,'Plano de Contas'!#REF!,12,FALSE)</f>
        <v>#REF!</v>
      </c>
      <c r="T24" s="6" t="e">
        <f>VLOOKUP(A24,'Plano de Contas'!#REF!,13,FALSE)</f>
        <v>#REF!</v>
      </c>
    </row>
    <row r="25" spans="1:20" s="5" customFormat="1" x14ac:dyDescent="0.25">
      <c r="A25" t="s">
        <v>84</v>
      </c>
      <c r="B25">
        <v>944</v>
      </c>
      <c r="C25" t="s">
        <v>85</v>
      </c>
      <c r="D25" s="10">
        <v>4250</v>
      </c>
      <c r="E25" t="s">
        <v>35</v>
      </c>
      <c r="F25" s="10">
        <v>42500</v>
      </c>
      <c r="G25"/>
      <c r="H25" s="10">
        <v>41750</v>
      </c>
      <c r="I25" t="s">
        <v>35</v>
      </c>
      <c r="J25" s="10">
        <v>3500</v>
      </c>
      <c r="K25" t="s">
        <v>35</v>
      </c>
      <c r="L25" s="1">
        <f t="shared" si="0"/>
        <v>-3500</v>
      </c>
      <c r="N25" s="6" t="str">
        <f>IF(ISERROR(VLOOKUP($A25,'Plano de Contas'!#REF!,8,FALSE)),"",VLOOKUP($A25,'Plano de Contas'!#REF!,8,FALSE))</f>
        <v/>
      </c>
      <c r="P25" s="6" t="str">
        <f>IF(ISERROR(VLOOKUP($A25,'Plano de Contas'!#REF!,10,FALSE)),"",VLOOKUP($A25,'Plano de Contas'!#REF!,10,FALSE))</f>
        <v/>
      </c>
      <c r="R25" s="6" t="e">
        <f>VLOOKUP(A25,'Plano de Contas'!#REF!,12,FALSE)</f>
        <v>#REF!</v>
      </c>
      <c r="T25" s="6" t="e">
        <f>VLOOKUP(A25,'Plano de Contas'!#REF!,13,FALSE)</f>
        <v>#REF!</v>
      </c>
    </row>
    <row r="26" spans="1:20" s="5" customFormat="1" x14ac:dyDescent="0.25">
      <c r="A26"/>
      <c r="B26"/>
      <c r="C26"/>
      <c r="D26" s="10"/>
      <c r="E26"/>
      <c r="F26" s="10"/>
      <c r="G26"/>
      <c r="H26" s="10"/>
      <c r="I26"/>
      <c r="J26" s="10"/>
      <c r="K26"/>
      <c r="L26" s="1">
        <f t="shared" si="0"/>
        <v>0</v>
      </c>
      <c r="N26" s="6" t="str">
        <f>IF(ISERROR(VLOOKUP($A26,'Plano de Contas'!#REF!,8,FALSE)),"",VLOOKUP($A26,'Plano de Contas'!#REF!,8,FALSE))</f>
        <v/>
      </c>
      <c r="P26" s="6" t="str">
        <f>IF(ISERROR(VLOOKUP($A26,'Plano de Contas'!#REF!,10,FALSE)),"",VLOOKUP($A26,'Plano de Contas'!#REF!,10,FALSE))</f>
        <v/>
      </c>
      <c r="R26" s="6" t="e">
        <f>VLOOKUP(A26,'Plano de Contas'!#REF!,12,FALSE)</f>
        <v>#REF!</v>
      </c>
      <c r="T26" s="6" t="e">
        <f>VLOOKUP(A26,'Plano de Contas'!#REF!,13,FALSE)</f>
        <v>#REF!</v>
      </c>
    </row>
    <row r="27" spans="1:20" s="5" customFormat="1" x14ac:dyDescent="0.25">
      <c r="A27" t="s">
        <v>88</v>
      </c>
      <c r="B27">
        <v>17</v>
      </c>
      <c r="C27" t="s">
        <v>89</v>
      </c>
      <c r="D27" s="10">
        <v>61429415.210000001</v>
      </c>
      <c r="E27"/>
      <c r="F27" s="10">
        <v>10322742.880000001</v>
      </c>
      <c r="G27"/>
      <c r="H27" s="10">
        <v>8721401.0199999996</v>
      </c>
      <c r="I27" t="s">
        <v>35</v>
      </c>
      <c r="J27" s="10">
        <v>63030757.07</v>
      </c>
      <c r="K27"/>
      <c r="L27" s="1">
        <f t="shared" si="0"/>
        <v>63030757.07</v>
      </c>
      <c r="N27" s="6" t="str">
        <f>IF(ISERROR(VLOOKUP($A27,'Plano de Contas'!#REF!,8,FALSE)),"",VLOOKUP($A27,'Plano de Contas'!#REF!,8,FALSE))</f>
        <v/>
      </c>
      <c r="P27" s="6" t="str">
        <f>IF(ISERROR(VLOOKUP($A27,'Plano de Contas'!#REF!,10,FALSE)),"",VLOOKUP($A27,'Plano de Contas'!#REF!,10,FALSE))</f>
        <v/>
      </c>
      <c r="R27" s="6" t="e">
        <f>VLOOKUP(A27,'Plano de Contas'!#REF!,12,FALSE)</f>
        <v>#REF!</v>
      </c>
      <c r="T27" s="6" t="e">
        <f>VLOOKUP(A27,'Plano de Contas'!#REF!,13,FALSE)</f>
        <v>#REF!</v>
      </c>
    </row>
    <row r="28" spans="1:20" s="5" customFormat="1" x14ac:dyDescent="0.25">
      <c r="A28" t="s">
        <v>989</v>
      </c>
      <c r="B28">
        <v>729</v>
      </c>
      <c r="C28" t="s">
        <v>990</v>
      </c>
      <c r="D28" s="10">
        <v>1496903.77</v>
      </c>
      <c r="E28"/>
      <c r="F28" s="10">
        <v>18474.7</v>
      </c>
      <c r="G28"/>
      <c r="H28" s="10">
        <v>338.57</v>
      </c>
      <c r="I28" t="s">
        <v>35</v>
      </c>
      <c r="J28" s="10">
        <v>1515039.9</v>
      </c>
      <c r="K28"/>
      <c r="L28" s="1">
        <f t="shared" si="0"/>
        <v>1515039.9</v>
      </c>
      <c r="N28" s="6" t="str">
        <f>IF(ISERROR(VLOOKUP($A28,'Plano de Contas'!#REF!,8,FALSE)),"",VLOOKUP($A28,'Plano de Contas'!#REF!,8,FALSE))</f>
        <v/>
      </c>
      <c r="P28" s="6" t="str">
        <f>IF(ISERROR(VLOOKUP($A28,'Plano de Contas'!#REF!,10,FALSE)),"",VLOOKUP($A28,'Plano de Contas'!#REF!,10,FALSE))</f>
        <v/>
      </c>
      <c r="R28" s="6" t="e">
        <f>VLOOKUP(A28,'Plano de Contas'!#REF!,12,FALSE)</f>
        <v>#REF!</v>
      </c>
      <c r="T28" s="6" t="e">
        <f>VLOOKUP(A28,'Plano de Contas'!#REF!,13,FALSE)</f>
        <v>#REF!</v>
      </c>
    </row>
    <row r="29" spans="1:20" s="5" customFormat="1" x14ac:dyDescent="0.25">
      <c r="A29" t="s">
        <v>90</v>
      </c>
      <c r="B29">
        <v>731</v>
      </c>
      <c r="C29" t="s">
        <v>91</v>
      </c>
      <c r="D29" s="10">
        <v>8139598.1100000003</v>
      </c>
      <c r="E29"/>
      <c r="F29" s="10">
        <v>97999.94</v>
      </c>
      <c r="G29"/>
      <c r="H29" s="10">
        <v>19599.990000000002</v>
      </c>
      <c r="I29" t="s">
        <v>35</v>
      </c>
      <c r="J29" s="10">
        <v>8217998.0599999996</v>
      </c>
      <c r="K29"/>
      <c r="L29" s="1">
        <f t="shared" si="0"/>
        <v>8217998.0599999996</v>
      </c>
      <c r="N29" s="6" t="str">
        <f>IF(ISERROR(VLOOKUP($A29,'Plano de Contas'!#REF!,8,FALSE)),"",VLOOKUP($A29,'Plano de Contas'!#REF!,8,FALSE))</f>
        <v/>
      </c>
      <c r="P29" s="6" t="str">
        <f>IF(ISERROR(VLOOKUP($A29,'Plano de Contas'!#REF!,10,FALSE)),"",VLOOKUP($A29,'Plano de Contas'!#REF!,10,FALSE))</f>
        <v/>
      </c>
      <c r="R29" s="6" t="e">
        <f>VLOOKUP(A29,'Plano de Contas'!#REF!,12,FALSE)</f>
        <v>#REF!</v>
      </c>
      <c r="T29" s="6" t="e">
        <f>VLOOKUP(A29,'Plano de Contas'!#REF!,13,FALSE)</f>
        <v>#REF!</v>
      </c>
    </row>
    <row r="30" spans="1:20" s="5" customFormat="1" x14ac:dyDescent="0.25">
      <c r="A30" t="s">
        <v>1131</v>
      </c>
      <c r="B30">
        <v>732</v>
      </c>
      <c r="C30" t="s">
        <v>1132</v>
      </c>
      <c r="D30" s="10">
        <v>22483755.329999998</v>
      </c>
      <c r="E30"/>
      <c r="F30" s="10">
        <v>260534.24</v>
      </c>
      <c r="G30"/>
      <c r="H30" s="10">
        <v>251574.95</v>
      </c>
      <c r="I30" t="s">
        <v>35</v>
      </c>
      <c r="J30" s="10">
        <v>22492714.620000001</v>
      </c>
      <c r="K30"/>
      <c r="L30" s="1">
        <f t="shared" si="0"/>
        <v>22492714.620000001</v>
      </c>
      <c r="N30" s="6" t="str">
        <f>IF(ISERROR(VLOOKUP($A30,'Plano de Contas'!#REF!,8,FALSE)),"",VLOOKUP($A30,'Plano de Contas'!#REF!,8,FALSE))</f>
        <v/>
      </c>
      <c r="P30" s="6" t="str">
        <f>IF(ISERROR(VLOOKUP($A30,'Plano de Contas'!#REF!,10,FALSE)),"",VLOOKUP($A30,'Plano de Contas'!#REF!,10,FALSE))</f>
        <v/>
      </c>
      <c r="R30" s="6" t="e">
        <f>VLOOKUP(A30,'Plano de Contas'!#REF!,12,FALSE)</f>
        <v>#REF!</v>
      </c>
      <c r="T30" s="6" t="e">
        <f>VLOOKUP(A30,'Plano de Contas'!#REF!,13,FALSE)</f>
        <v>#REF!</v>
      </c>
    </row>
    <row r="31" spans="1:20" s="5" customFormat="1" x14ac:dyDescent="0.25">
      <c r="A31" t="s">
        <v>92</v>
      </c>
      <c r="B31">
        <v>738</v>
      </c>
      <c r="C31" t="s">
        <v>93</v>
      </c>
      <c r="D31" s="10">
        <v>48267.94</v>
      </c>
      <c r="E31"/>
      <c r="F31" s="10">
        <v>0</v>
      </c>
      <c r="G31"/>
      <c r="H31" s="10">
        <v>0</v>
      </c>
      <c r="I31"/>
      <c r="J31" s="10">
        <v>48267.94</v>
      </c>
      <c r="K31"/>
      <c r="L31" s="1">
        <f t="shared" si="0"/>
        <v>48267.94</v>
      </c>
      <c r="N31" s="6" t="str">
        <f>IF(ISERROR(VLOOKUP($A31,'Plano de Contas'!#REF!,8,FALSE)),"",VLOOKUP($A31,'Plano de Contas'!#REF!,8,FALSE))</f>
        <v/>
      </c>
      <c r="P31" s="6" t="str">
        <f>IF(ISERROR(VLOOKUP($A31,'Plano de Contas'!#REF!,10,FALSE)),"",VLOOKUP($A31,'Plano de Contas'!#REF!,10,FALSE))</f>
        <v/>
      </c>
      <c r="R31" s="6" t="e">
        <f>VLOOKUP(A31,'Plano de Contas'!#REF!,12,FALSE)</f>
        <v>#REF!</v>
      </c>
      <c r="T31" s="6" t="e">
        <f>VLOOKUP(A31,'Plano de Contas'!#REF!,13,FALSE)</f>
        <v>#REF!</v>
      </c>
    </row>
    <row r="32" spans="1:20" s="5" customFormat="1" x14ac:dyDescent="0.25">
      <c r="A32" t="s">
        <v>94</v>
      </c>
      <c r="B32">
        <v>740</v>
      </c>
      <c r="C32" t="s">
        <v>95</v>
      </c>
      <c r="D32" s="10">
        <v>566067.46</v>
      </c>
      <c r="E32"/>
      <c r="F32" s="10">
        <v>55020.05</v>
      </c>
      <c r="G32"/>
      <c r="H32" s="10">
        <v>233579.11</v>
      </c>
      <c r="I32" t="s">
        <v>35</v>
      </c>
      <c r="J32" s="10">
        <v>387508.4</v>
      </c>
      <c r="K32"/>
      <c r="L32" s="1">
        <f t="shared" si="0"/>
        <v>387508.4</v>
      </c>
      <c r="N32" s="6" t="str">
        <f>IF(ISERROR(VLOOKUP($A32,'Plano de Contas'!#REF!,8,FALSE)),"",VLOOKUP($A32,'Plano de Contas'!#REF!,8,FALSE))</f>
        <v/>
      </c>
      <c r="P32" s="6" t="str">
        <f>IF(ISERROR(VLOOKUP($A32,'Plano de Contas'!#REF!,10,FALSE)),"",VLOOKUP($A32,'Plano de Contas'!#REF!,10,FALSE))</f>
        <v/>
      </c>
      <c r="R32" s="6" t="e">
        <f>VLOOKUP(A32,'Plano de Contas'!#REF!,12,FALSE)</f>
        <v>#REF!</v>
      </c>
      <c r="T32" s="6" t="e">
        <f>VLOOKUP(A32,'Plano de Contas'!#REF!,13,FALSE)</f>
        <v>#REF!</v>
      </c>
    </row>
    <row r="33" spans="1:20" s="5" customFormat="1" x14ac:dyDescent="0.25">
      <c r="A33" t="s">
        <v>96</v>
      </c>
      <c r="B33">
        <v>748</v>
      </c>
      <c r="C33" t="s">
        <v>97</v>
      </c>
      <c r="D33" s="10">
        <v>0</v>
      </c>
      <c r="E33"/>
      <c r="F33" s="10">
        <v>357.86</v>
      </c>
      <c r="G33"/>
      <c r="H33" s="10">
        <v>357.86</v>
      </c>
      <c r="I33" t="s">
        <v>35</v>
      </c>
      <c r="J33" s="10">
        <v>0</v>
      </c>
      <c r="K33"/>
      <c r="L33" s="1">
        <f t="shared" si="0"/>
        <v>0</v>
      </c>
      <c r="N33" s="6" t="str">
        <f>IF(ISERROR(VLOOKUP($A33,'Plano de Contas'!#REF!,8,FALSE)),"",VLOOKUP($A33,'Plano de Contas'!#REF!,8,FALSE))</f>
        <v/>
      </c>
      <c r="P33" s="6" t="str">
        <f>IF(ISERROR(VLOOKUP($A33,'Plano de Contas'!#REF!,10,FALSE)),"",VLOOKUP($A33,'Plano de Contas'!#REF!,10,FALSE))</f>
        <v/>
      </c>
      <c r="R33" s="6" t="e">
        <f>VLOOKUP(A33,'Plano de Contas'!#REF!,12,FALSE)</f>
        <v>#REF!</v>
      </c>
      <c r="T33" s="6" t="e">
        <f>VLOOKUP(A33,'Plano de Contas'!#REF!,13,FALSE)</f>
        <v>#REF!</v>
      </c>
    </row>
    <row r="34" spans="1:20" s="5" customFormat="1" x14ac:dyDescent="0.25">
      <c r="A34" t="s">
        <v>100</v>
      </c>
      <c r="B34">
        <v>779</v>
      </c>
      <c r="C34" t="s">
        <v>101</v>
      </c>
      <c r="D34" s="10">
        <v>41756.93</v>
      </c>
      <c r="E34"/>
      <c r="F34" s="10">
        <v>0</v>
      </c>
      <c r="G34"/>
      <c r="H34" s="10">
        <v>0</v>
      </c>
      <c r="I34"/>
      <c r="J34" s="10">
        <v>41756.93</v>
      </c>
      <c r="K34"/>
      <c r="L34" s="1">
        <f t="shared" si="0"/>
        <v>41756.93</v>
      </c>
      <c r="N34" s="6" t="str">
        <f>IF(ISERROR(VLOOKUP($A34,'Plano de Contas'!#REF!,8,FALSE)),"",VLOOKUP($A34,'Plano de Contas'!#REF!,8,FALSE))</f>
        <v/>
      </c>
      <c r="P34" s="6" t="str">
        <f>IF(ISERROR(VLOOKUP($A34,'Plano de Contas'!#REF!,10,FALSE)),"",VLOOKUP($A34,'Plano de Contas'!#REF!,10,FALSE))</f>
        <v/>
      </c>
      <c r="R34" s="6" t="e">
        <f>VLOOKUP(A34,'Plano de Contas'!#REF!,12,FALSE)</f>
        <v>#REF!</v>
      </c>
      <c r="T34" s="6" t="e">
        <f>VLOOKUP(A34,'Plano de Contas'!#REF!,13,FALSE)</f>
        <v>#REF!</v>
      </c>
    </row>
    <row r="35" spans="1:20" s="5" customFormat="1" x14ac:dyDescent="0.25">
      <c r="A35" t="s">
        <v>102</v>
      </c>
      <c r="B35">
        <v>916</v>
      </c>
      <c r="C35" t="s">
        <v>103</v>
      </c>
      <c r="D35" s="10">
        <v>4955600.3499999996</v>
      </c>
      <c r="E35"/>
      <c r="F35" s="10">
        <v>8082750.6100000003</v>
      </c>
      <c r="G35"/>
      <c r="H35" s="10">
        <v>147341.03</v>
      </c>
      <c r="I35" t="s">
        <v>35</v>
      </c>
      <c r="J35" s="10">
        <v>12891009.93</v>
      </c>
      <c r="K35"/>
      <c r="L35" s="1">
        <f t="shared" si="0"/>
        <v>12891009.93</v>
      </c>
      <c r="N35" s="6" t="str">
        <f>IF(ISERROR(VLOOKUP($A35,'Plano de Contas'!#REF!,8,FALSE)),"",VLOOKUP($A35,'Plano de Contas'!#REF!,8,FALSE))</f>
        <v/>
      </c>
      <c r="P35" s="6" t="str">
        <f>IF(ISERROR(VLOOKUP($A35,'Plano de Contas'!#REF!,10,FALSE)),"",VLOOKUP($A35,'Plano de Contas'!#REF!,10,FALSE))</f>
        <v/>
      </c>
      <c r="R35" s="6" t="e">
        <f>VLOOKUP(A35,'Plano de Contas'!#REF!,12,FALSE)</f>
        <v>#REF!</v>
      </c>
      <c r="T35" s="6" t="e">
        <f>VLOOKUP(A35,'Plano de Contas'!#REF!,13,FALSE)</f>
        <v>#REF!</v>
      </c>
    </row>
    <row r="36" spans="1:20" s="5" customFormat="1" x14ac:dyDescent="0.25">
      <c r="A36" t="s">
        <v>106</v>
      </c>
      <c r="B36">
        <v>946</v>
      </c>
      <c r="C36" t="s">
        <v>107</v>
      </c>
      <c r="D36" s="10">
        <v>10472589.67</v>
      </c>
      <c r="E36"/>
      <c r="F36" s="10">
        <v>254767.61</v>
      </c>
      <c r="G36"/>
      <c r="H36" s="10">
        <v>42563.29</v>
      </c>
      <c r="I36" t="s">
        <v>35</v>
      </c>
      <c r="J36" s="10">
        <v>10684793.99</v>
      </c>
      <c r="K36"/>
      <c r="L36" s="1">
        <f t="shared" si="0"/>
        <v>10684793.99</v>
      </c>
      <c r="N36" s="6" t="str">
        <f>IF(ISERROR(VLOOKUP($A36,'Plano de Contas'!#REF!,8,FALSE)),"",VLOOKUP($A36,'Plano de Contas'!#REF!,8,FALSE))</f>
        <v/>
      </c>
      <c r="P36" s="6" t="str">
        <f>IF(ISERROR(VLOOKUP($A36,'Plano de Contas'!#REF!,10,FALSE)),"",VLOOKUP($A36,'Plano de Contas'!#REF!,10,FALSE))</f>
        <v/>
      </c>
      <c r="R36" s="6" t="e">
        <f>VLOOKUP(A36,'Plano de Contas'!#REF!,12,FALSE)</f>
        <v>#REF!</v>
      </c>
      <c r="T36" s="6" t="e">
        <f>VLOOKUP(A36,'Plano de Contas'!#REF!,13,FALSE)</f>
        <v>#REF!</v>
      </c>
    </row>
    <row r="37" spans="1:20" s="5" customFormat="1" x14ac:dyDescent="0.25">
      <c r="A37" t="s">
        <v>108</v>
      </c>
      <c r="B37">
        <v>959</v>
      </c>
      <c r="C37" t="s">
        <v>109</v>
      </c>
      <c r="D37" s="10">
        <v>50225.53</v>
      </c>
      <c r="E37"/>
      <c r="F37" s="10">
        <v>0</v>
      </c>
      <c r="G37"/>
      <c r="H37" s="10">
        <v>0</v>
      </c>
      <c r="I37"/>
      <c r="J37" s="10">
        <v>50225.53</v>
      </c>
      <c r="K37"/>
      <c r="L37" s="1">
        <f t="shared" si="0"/>
        <v>50225.53</v>
      </c>
      <c r="N37" s="6" t="str">
        <f>IF(ISERROR(VLOOKUP($A37,'Plano de Contas'!#REF!,8,FALSE)),"",VLOOKUP($A37,'Plano de Contas'!#REF!,8,FALSE))</f>
        <v/>
      </c>
      <c r="P37" s="6" t="str">
        <f>IF(ISERROR(VLOOKUP($A37,'Plano de Contas'!#REF!,10,FALSE)),"",VLOOKUP($A37,'Plano de Contas'!#REF!,10,FALSE))</f>
        <v/>
      </c>
      <c r="R37" s="6" t="e">
        <f>VLOOKUP(A37,'Plano de Contas'!#REF!,12,FALSE)</f>
        <v>#REF!</v>
      </c>
      <c r="T37" s="6" t="e">
        <f>VLOOKUP(A37,'Plano de Contas'!#REF!,13,FALSE)</f>
        <v>#REF!</v>
      </c>
    </row>
    <row r="38" spans="1:20" s="5" customFormat="1" x14ac:dyDescent="0.25">
      <c r="A38" t="s">
        <v>1133</v>
      </c>
      <c r="B38">
        <v>1070</v>
      </c>
      <c r="C38" t="s">
        <v>1134</v>
      </c>
      <c r="D38" s="10">
        <v>6435226.9400000004</v>
      </c>
      <c r="E38"/>
      <c r="F38" s="10">
        <v>78067.34</v>
      </c>
      <c r="G38"/>
      <c r="H38" s="10">
        <v>4017565.14</v>
      </c>
      <c r="I38" t="s">
        <v>35</v>
      </c>
      <c r="J38" s="10">
        <v>2495729.14</v>
      </c>
      <c r="K38"/>
      <c r="L38" s="1">
        <f t="shared" si="0"/>
        <v>2495729.14</v>
      </c>
      <c r="N38" s="6" t="str">
        <f>IF(ISERROR(VLOOKUP($A38,'Plano de Contas'!#REF!,8,FALSE)),"",VLOOKUP($A38,'Plano de Contas'!#REF!,8,FALSE))</f>
        <v/>
      </c>
      <c r="P38" s="6" t="str">
        <f>IF(ISERROR(VLOOKUP($A38,'Plano de Contas'!#REF!,10,FALSE)),"",VLOOKUP($A38,'Plano de Contas'!#REF!,10,FALSE))</f>
        <v/>
      </c>
      <c r="R38" s="6" t="e">
        <f>VLOOKUP(A38,'Plano de Contas'!#REF!,12,FALSE)</f>
        <v>#REF!</v>
      </c>
      <c r="T38" s="6" t="e">
        <f>VLOOKUP(A38,'Plano de Contas'!#REF!,13,FALSE)</f>
        <v>#REF!</v>
      </c>
    </row>
    <row r="39" spans="1:20" s="5" customFormat="1" x14ac:dyDescent="0.25">
      <c r="A39" t="s">
        <v>1135</v>
      </c>
      <c r="B39">
        <v>1071</v>
      </c>
      <c r="C39" t="s">
        <v>1136</v>
      </c>
      <c r="D39" s="10">
        <v>2.23</v>
      </c>
      <c r="E39" t="s">
        <v>35</v>
      </c>
      <c r="F39" s="10">
        <v>16.21</v>
      </c>
      <c r="G39"/>
      <c r="H39" s="10">
        <v>3.64</v>
      </c>
      <c r="I39" t="s">
        <v>35</v>
      </c>
      <c r="J39" s="10">
        <v>10.34</v>
      </c>
      <c r="K39"/>
      <c r="L39" s="1">
        <f t="shared" si="0"/>
        <v>10.34</v>
      </c>
      <c r="N39" s="6" t="str">
        <f>IF(ISERROR(VLOOKUP($A39,'Plano de Contas'!#REF!,8,FALSE)),"",VLOOKUP($A39,'Plano de Contas'!#REF!,8,FALSE))</f>
        <v/>
      </c>
      <c r="P39" s="6" t="str">
        <f>IF(ISERROR(VLOOKUP($A39,'Plano de Contas'!#REF!,10,FALSE)),"",VLOOKUP($A39,'Plano de Contas'!#REF!,10,FALSE))</f>
        <v/>
      </c>
      <c r="R39" s="6" t="e">
        <f>VLOOKUP(A39,'Plano de Contas'!#REF!,12,FALSE)</f>
        <v>#REF!</v>
      </c>
      <c r="T39" s="6" t="e">
        <f>VLOOKUP(A39,'Plano de Contas'!#REF!,13,FALSE)</f>
        <v>#REF!</v>
      </c>
    </row>
    <row r="40" spans="1:20" s="5" customFormat="1" x14ac:dyDescent="0.25">
      <c r="A40" t="s">
        <v>1137</v>
      </c>
      <c r="B40">
        <v>1072</v>
      </c>
      <c r="C40" t="s">
        <v>1138</v>
      </c>
      <c r="D40" s="10">
        <v>21675.54</v>
      </c>
      <c r="E40"/>
      <c r="F40">
        <v>435.46</v>
      </c>
      <c r="G40"/>
      <c r="H40">
        <v>97.97</v>
      </c>
      <c r="I40" t="s">
        <v>35</v>
      </c>
      <c r="J40" s="10">
        <v>22013.03</v>
      </c>
      <c r="K40"/>
      <c r="L40" s="1">
        <f t="shared" si="0"/>
        <v>22013.03</v>
      </c>
      <c r="N40" s="6" t="str">
        <f>IF(ISERROR(VLOOKUP($A40,'Plano de Contas'!#REF!,8,FALSE)),"",VLOOKUP($A40,'Plano de Contas'!#REF!,8,FALSE))</f>
        <v/>
      </c>
      <c r="P40" s="6" t="str">
        <f>IF(ISERROR(VLOOKUP($A40,'Plano de Contas'!#REF!,10,FALSE)),"",VLOOKUP($A40,'Plano de Contas'!#REF!,10,FALSE))</f>
        <v/>
      </c>
      <c r="R40" s="6" t="e">
        <f>VLOOKUP(A40,'Plano de Contas'!#REF!,12,FALSE)</f>
        <v>#REF!</v>
      </c>
      <c r="T40" s="6" t="e">
        <f>VLOOKUP(A40,'Plano de Contas'!#REF!,13,FALSE)</f>
        <v>#REF!</v>
      </c>
    </row>
    <row r="41" spans="1:20" s="5" customFormat="1" x14ac:dyDescent="0.25">
      <c r="A41" t="s">
        <v>1139</v>
      </c>
      <c r="B41">
        <v>1075</v>
      </c>
      <c r="C41" t="s">
        <v>1140</v>
      </c>
      <c r="D41" s="10">
        <v>0</v>
      </c>
      <c r="E41"/>
      <c r="F41" s="10">
        <v>105656.21</v>
      </c>
      <c r="G41"/>
      <c r="H41" s="10">
        <v>-105656.21</v>
      </c>
      <c r="I41"/>
      <c r="J41" s="10">
        <v>0</v>
      </c>
      <c r="K41"/>
      <c r="L41" s="1">
        <f t="shared" si="0"/>
        <v>0</v>
      </c>
      <c r="N41" s="6" t="str">
        <f>IF(ISERROR(VLOOKUP($A41,'Plano de Contas'!#REF!,8,FALSE)),"",VLOOKUP($A41,'Plano de Contas'!#REF!,8,FALSE))</f>
        <v/>
      </c>
      <c r="P41" s="6" t="str">
        <f>IF(ISERROR(VLOOKUP($A41,'Plano de Contas'!#REF!,10,FALSE)),"",VLOOKUP($A41,'Plano de Contas'!#REF!,10,FALSE))</f>
        <v/>
      </c>
      <c r="R41" s="6" t="e">
        <f>VLOOKUP(A41,'Plano de Contas'!#REF!,12,FALSE)</f>
        <v>#REF!</v>
      </c>
      <c r="T41" s="6" t="e">
        <f>VLOOKUP(A41,'Plano de Contas'!#REF!,13,FALSE)</f>
        <v>#REF!</v>
      </c>
    </row>
    <row r="42" spans="1:20" s="5" customFormat="1" x14ac:dyDescent="0.25">
      <c r="A42" t="s">
        <v>1141</v>
      </c>
      <c r="B42">
        <v>1076</v>
      </c>
      <c r="C42" t="s">
        <v>1142</v>
      </c>
      <c r="D42" s="10">
        <v>203.43</v>
      </c>
      <c r="E42"/>
      <c r="F42" s="10">
        <v>1321255.93</v>
      </c>
      <c r="G42"/>
      <c r="H42" s="10">
        <v>1248399.17</v>
      </c>
      <c r="I42" t="s">
        <v>35</v>
      </c>
      <c r="J42" s="10">
        <v>73060.19</v>
      </c>
      <c r="K42"/>
      <c r="L42" s="1">
        <f t="shared" si="0"/>
        <v>73060.19</v>
      </c>
      <c r="N42" s="6" t="str">
        <f>IF(ISERROR(VLOOKUP($A42,'Plano de Contas'!#REF!,8,FALSE)),"",VLOOKUP($A42,'Plano de Contas'!#REF!,8,FALSE))</f>
        <v/>
      </c>
      <c r="P42" s="6" t="str">
        <f>IF(ISERROR(VLOOKUP($A42,'Plano de Contas'!#REF!,10,FALSE)),"",VLOOKUP($A42,'Plano de Contas'!#REF!,10,FALSE))</f>
        <v/>
      </c>
      <c r="R42" s="6" t="e">
        <f>VLOOKUP(A42,'Plano de Contas'!#REF!,12,FALSE)</f>
        <v>#REF!</v>
      </c>
      <c r="T42" s="6" t="e">
        <f>VLOOKUP(A42,'Plano de Contas'!#REF!,13,FALSE)</f>
        <v>#REF!</v>
      </c>
    </row>
    <row r="43" spans="1:20" s="5" customFormat="1" x14ac:dyDescent="0.25">
      <c r="A43" t="s">
        <v>1143</v>
      </c>
      <c r="B43">
        <v>1077</v>
      </c>
      <c r="C43" t="s">
        <v>1144</v>
      </c>
      <c r="D43" s="10">
        <v>6717546.4400000004</v>
      </c>
      <c r="E43"/>
      <c r="F43" s="10">
        <v>47406.720000000001</v>
      </c>
      <c r="G43"/>
      <c r="H43" s="10">
        <v>2654324.09</v>
      </c>
      <c r="I43" t="s">
        <v>35</v>
      </c>
      <c r="J43" s="10">
        <v>4110629.07</v>
      </c>
      <c r="K43"/>
      <c r="L43" s="1">
        <f t="shared" si="0"/>
        <v>4110629.07</v>
      </c>
      <c r="N43" s="6" t="str">
        <f>IF(ISERROR(VLOOKUP($A43,'Plano de Contas'!#REF!,8,FALSE)),"",VLOOKUP($A43,'Plano de Contas'!#REF!,8,FALSE))</f>
        <v/>
      </c>
      <c r="P43" s="6" t="str">
        <f>IF(ISERROR(VLOOKUP($A43,'Plano de Contas'!#REF!,10,FALSE)),"",VLOOKUP($A43,'Plano de Contas'!#REF!,10,FALSE))</f>
        <v/>
      </c>
      <c r="R43" s="6" t="e">
        <f>VLOOKUP(A43,'Plano de Contas'!#REF!,12,FALSE)</f>
        <v>#REF!</v>
      </c>
      <c r="T43" s="6" t="e">
        <f>VLOOKUP(A43,'Plano de Contas'!#REF!,13,FALSE)</f>
        <v>#REF!</v>
      </c>
    </row>
    <row r="44" spans="1:20" s="5" customFormat="1" x14ac:dyDescent="0.25">
      <c r="A44"/>
      <c r="B44"/>
      <c r="C44"/>
      <c r="D44" s="10"/>
      <c r="E44"/>
      <c r="F44" s="10"/>
      <c r="G44"/>
      <c r="H44" s="10"/>
      <c r="I44"/>
      <c r="J44" s="10"/>
      <c r="K44"/>
      <c r="L44" s="1">
        <f t="shared" si="0"/>
        <v>0</v>
      </c>
      <c r="N44" s="6" t="str">
        <f>IF(ISERROR(VLOOKUP($A44,'Plano de Contas'!#REF!,8,FALSE)),"",VLOOKUP($A44,'Plano de Contas'!#REF!,8,FALSE))</f>
        <v/>
      </c>
      <c r="P44" s="6" t="str">
        <f>IF(ISERROR(VLOOKUP($A44,'Plano de Contas'!#REF!,10,FALSE)),"",VLOOKUP($A44,'Plano de Contas'!#REF!,10,FALSE))</f>
        <v/>
      </c>
      <c r="R44" s="6" t="e">
        <f>VLOOKUP(A44,'Plano de Contas'!#REF!,12,FALSE)</f>
        <v>#REF!</v>
      </c>
      <c r="T44" s="6" t="e">
        <f>VLOOKUP(A44,'Plano de Contas'!#REF!,13,FALSE)</f>
        <v>#REF!</v>
      </c>
    </row>
    <row r="45" spans="1:20" s="5" customFormat="1" x14ac:dyDescent="0.25">
      <c r="A45" t="s">
        <v>110</v>
      </c>
      <c r="B45">
        <v>28</v>
      </c>
      <c r="C45" t="s">
        <v>111</v>
      </c>
      <c r="D45" s="10">
        <v>27499281.870000001</v>
      </c>
      <c r="E45"/>
      <c r="F45" s="10">
        <v>18791347.600000001</v>
      </c>
      <c r="G45"/>
      <c r="H45" s="10">
        <v>24598452.140000001</v>
      </c>
      <c r="I45" t="s">
        <v>35</v>
      </c>
      <c r="J45" s="10">
        <v>21692177.329999998</v>
      </c>
      <c r="K45"/>
      <c r="L45" s="1">
        <f t="shared" si="0"/>
        <v>21692177.329999998</v>
      </c>
      <c r="N45" s="6" t="str">
        <f>IF(ISERROR(VLOOKUP($A45,'Plano de Contas'!#REF!,8,FALSE)),"",VLOOKUP($A45,'Plano de Contas'!#REF!,8,FALSE))</f>
        <v/>
      </c>
      <c r="P45" s="6" t="str">
        <f>IF(ISERROR(VLOOKUP($A45,'Plano de Contas'!#REF!,10,FALSE)),"",VLOOKUP($A45,'Plano de Contas'!#REF!,10,FALSE))</f>
        <v/>
      </c>
      <c r="R45" s="6" t="e">
        <f>VLOOKUP(A45,'Plano de Contas'!#REF!,12,FALSE)</f>
        <v>#REF!</v>
      </c>
      <c r="T45" s="6" t="e">
        <f>VLOOKUP(A45,'Plano de Contas'!#REF!,13,FALSE)</f>
        <v>#REF!</v>
      </c>
    </row>
    <row r="46" spans="1:20" s="5" customFormat="1" x14ac:dyDescent="0.25">
      <c r="A46"/>
      <c r="B46"/>
      <c r="C46"/>
      <c r="D46" s="10"/>
      <c r="E46"/>
      <c r="F46"/>
      <c r="G46"/>
      <c r="H46"/>
      <c r="I46"/>
      <c r="J46" s="10"/>
      <c r="K46"/>
      <c r="L46" s="48">
        <f t="shared" si="0"/>
        <v>0</v>
      </c>
      <c r="N46" s="6" t="str">
        <f>IF(ISERROR(VLOOKUP($A46,'Plano de Contas'!#REF!,8,FALSE)),"",VLOOKUP($A46,'Plano de Contas'!#REF!,8,FALSE))</f>
        <v/>
      </c>
      <c r="P46" s="6" t="str">
        <f>IF(ISERROR(VLOOKUP($A46,'Plano de Contas'!#REF!,10,FALSE)),"",VLOOKUP($A46,'Plano de Contas'!#REF!,10,FALSE))</f>
        <v/>
      </c>
      <c r="R46" s="6" t="e">
        <f>VLOOKUP(A46,'Plano de Contas'!#REF!,12,FALSE)</f>
        <v>#REF!</v>
      </c>
      <c r="T46" s="6" t="e">
        <f>VLOOKUP(A46,'Plano de Contas'!#REF!,13,FALSE)</f>
        <v>#REF!</v>
      </c>
    </row>
    <row r="47" spans="1:20" s="5" customFormat="1" x14ac:dyDescent="0.25">
      <c r="A47" t="s">
        <v>112</v>
      </c>
      <c r="B47">
        <v>29</v>
      </c>
      <c r="C47" t="s">
        <v>113</v>
      </c>
      <c r="D47" s="10">
        <v>2608529.33</v>
      </c>
      <c r="E47"/>
      <c r="F47" s="10">
        <v>14242093.35</v>
      </c>
      <c r="G47"/>
      <c r="H47" s="10">
        <v>10462607.939999999</v>
      </c>
      <c r="I47" t="s">
        <v>35</v>
      </c>
      <c r="J47" s="10">
        <v>6388014.7400000002</v>
      </c>
      <c r="K47"/>
      <c r="L47" s="48">
        <f t="shared" si="0"/>
        <v>6388014.7400000002</v>
      </c>
      <c r="N47" s="6" t="str">
        <f>IF(ISERROR(VLOOKUP($A47,'Plano de Contas'!#REF!,8,FALSE)),"",VLOOKUP($A47,'Plano de Contas'!#REF!,8,FALSE))</f>
        <v/>
      </c>
      <c r="P47" s="6" t="str">
        <f>IF(ISERROR(VLOOKUP($A47,'Plano de Contas'!#REF!,10,FALSE)),"",VLOOKUP($A47,'Plano de Contas'!#REF!,10,FALSE))</f>
        <v/>
      </c>
      <c r="R47" s="6" t="e">
        <f>VLOOKUP(A47,'Plano de Contas'!#REF!,12,FALSE)</f>
        <v>#REF!</v>
      </c>
      <c r="T47" s="6" t="e">
        <f>VLOOKUP(A47,'Plano de Contas'!#REF!,13,FALSE)</f>
        <v>#REF!</v>
      </c>
    </row>
    <row r="48" spans="1:20" s="5" customFormat="1" x14ac:dyDescent="0.25">
      <c r="A48" t="s">
        <v>114</v>
      </c>
      <c r="B48">
        <v>30</v>
      </c>
      <c r="C48" t="s">
        <v>115</v>
      </c>
      <c r="D48" s="10">
        <v>4809430.5999999996</v>
      </c>
      <c r="E48"/>
      <c r="F48" s="10">
        <v>14220331.65</v>
      </c>
      <c r="G48"/>
      <c r="H48" s="10">
        <v>10462607.939999999</v>
      </c>
      <c r="I48" t="s">
        <v>35</v>
      </c>
      <c r="J48" s="10">
        <v>8567154.3100000005</v>
      </c>
      <c r="K48"/>
      <c r="L48" s="1">
        <f t="shared" si="0"/>
        <v>8567154.3100000005</v>
      </c>
      <c r="N48" s="6" t="str">
        <f>IF(ISERROR(VLOOKUP($A48,'Plano de Contas'!#REF!,8,FALSE)),"",VLOOKUP($A48,'Plano de Contas'!#REF!,8,FALSE))</f>
        <v/>
      </c>
      <c r="P48" s="6" t="str">
        <f>IF(ISERROR(VLOOKUP($A48,'Plano de Contas'!#REF!,10,FALSE)),"",VLOOKUP($A48,'Plano de Contas'!#REF!,10,FALSE))</f>
        <v/>
      </c>
      <c r="R48" s="6" t="e">
        <f>VLOOKUP(A48,'Plano de Contas'!#REF!,12,FALSE)</f>
        <v>#REF!</v>
      </c>
      <c r="T48" s="6" t="e">
        <f>VLOOKUP(A48,'Plano de Contas'!#REF!,13,FALSE)</f>
        <v>#REF!</v>
      </c>
    </row>
    <row r="49" spans="1:20" s="5" customFormat="1" x14ac:dyDescent="0.25">
      <c r="A49" t="s">
        <v>995</v>
      </c>
      <c r="B49">
        <v>1034</v>
      </c>
      <c r="C49" t="s">
        <v>996</v>
      </c>
      <c r="D49" s="10">
        <v>-1417669.76</v>
      </c>
      <c r="E49"/>
      <c r="F49" s="10">
        <v>21761.7</v>
      </c>
      <c r="G49"/>
      <c r="H49" s="10">
        <v>0</v>
      </c>
      <c r="I49"/>
      <c r="J49" s="10">
        <v>-1395908.06</v>
      </c>
      <c r="K49"/>
      <c r="L49" s="1">
        <f t="shared" si="0"/>
        <v>-1395908.06</v>
      </c>
      <c r="N49" s="6" t="str">
        <f>IF(ISERROR(VLOOKUP($A49,'Plano de Contas'!#REF!,8,FALSE)),"",VLOOKUP($A49,'Plano de Contas'!#REF!,8,FALSE))</f>
        <v/>
      </c>
      <c r="P49" s="6" t="str">
        <f>IF(ISERROR(VLOOKUP($A49,'Plano de Contas'!#REF!,10,FALSE)),"",VLOOKUP($A49,'Plano de Contas'!#REF!,10,FALSE))</f>
        <v/>
      </c>
      <c r="R49" s="6" t="e">
        <f>VLOOKUP(A49,'Plano de Contas'!#REF!,12,FALSE)</f>
        <v>#REF!</v>
      </c>
      <c r="T49" s="6" t="e">
        <f>VLOOKUP(A49,'Plano de Contas'!#REF!,13,FALSE)</f>
        <v>#REF!</v>
      </c>
    </row>
    <row r="50" spans="1:20" s="5" customFormat="1" x14ac:dyDescent="0.25">
      <c r="A50" t="s">
        <v>116</v>
      </c>
      <c r="B50">
        <v>31</v>
      </c>
      <c r="C50" t="s">
        <v>117</v>
      </c>
      <c r="D50" s="10">
        <v>-783231.51</v>
      </c>
      <c r="E50"/>
      <c r="F50" s="10">
        <v>0</v>
      </c>
      <c r="G50"/>
      <c r="H50" s="10">
        <v>0</v>
      </c>
      <c r="I50"/>
      <c r="J50" s="10">
        <v>-783231.51</v>
      </c>
      <c r="K50"/>
      <c r="L50" s="48">
        <f t="shared" si="0"/>
        <v>-783231.51</v>
      </c>
      <c r="N50" s="6" t="str">
        <f>IF(ISERROR(VLOOKUP($A50,'Plano de Contas'!#REF!,8,FALSE)),"",VLOOKUP($A50,'Plano de Contas'!#REF!,8,FALSE))</f>
        <v/>
      </c>
      <c r="P50" s="6" t="str">
        <f>IF(ISERROR(VLOOKUP($A50,'Plano de Contas'!#REF!,10,FALSE)),"",VLOOKUP($A50,'Plano de Contas'!#REF!,10,FALSE))</f>
        <v/>
      </c>
      <c r="R50" s="6" t="e">
        <f>VLOOKUP(A50,'Plano de Contas'!#REF!,12,FALSE)</f>
        <v>#REF!</v>
      </c>
      <c r="T50" s="6" t="e">
        <f>VLOOKUP(A50,'Plano de Contas'!#REF!,13,FALSE)</f>
        <v>#REF!</v>
      </c>
    </row>
    <row r="51" spans="1:20" s="5" customFormat="1" x14ac:dyDescent="0.25">
      <c r="A51"/>
      <c r="B51"/>
      <c r="C51"/>
      <c r="D51" s="10"/>
      <c r="E51"/>
      <c r="F51" s="10"/>
      <c r="G51"/>
      <c r="H51"/>
      <c r="I51"/>
      <c r="J51" s="10"/>
      <c r="K51"/>
      <c r="L51" s="1">
        <f t="shared" si="0"/>
        <v>0</v>
      </c>
      <c r="N51" s="6" t="str">
        <f>IF(ISERROR(VLOOKUP($A51,'Plano de Contas'!#REF!,8,FALSE)),"",VLOOKUP($A51,'Plano de Contas'!#REF!,8,FALSE))</f>
        <v/>
      </c>
      <c r="P51" s="6" t="str">
        <f>IF(ISERROR(VLOOKUP($A51,'Plano de Contas'!#REF!,10,FALSE)),"",VLOOKUP($A51,'Plano de Contas'!#REF!,10,FALSE))</f>
        <v/>
      </c>
      <c r="R51" s="6" t="e">
        <f>VLOOKUP(A51,'Plano de Contas'!#REF!,12,FALSE)</f>
        <v>#REF!</v>
      </c>
      <c r="T51" s="6" t="e">
        <f>VLOOKUP(A51,'Plano de Contas'!#REF!,13,FALSE)</f>
        <v>#REF!</v>
      </c>
    </row>
    <row r="52" spans="1:20" s="5" customFormat="1" x14ac:dyDescent="0.25">
      <c r="A52" t="s">
        <v>118</v>
      </c>
      <c r="B52">
        <v>32</v>
      </c>
      <c r="C52" t="s">
        <v>119</v>
      </c>
      <c r="D52" s="10">
        <v>2006126.57</v>
      </c>
      <c r="E52"/>
      <c r="F52" s="10">
        <v>4521.43</v>
      </c>
      <c r="G52"/>
      <c r="H52" s="10">
        <v>2010648</v>
      </c>
      <c r="I52" t="s">
        <v>35</v>
      </c>
      <c r="J52" s="10">
        <v>0</v>
      </c>
      <c r="K52"/>
      <c r="L52" s="1">
        <f t="shared" si="0"/>
        <v>0</v>
      </c>
      <c r="N52" s="6" t="str">
        <f>IF(ISERROR(VLOOKUP($A52,'Plano de Contas'!#REF!,8,FALSE)),"",VLOOKUP($A52,'Plano de Contas'!#REF!,8,FALSE))</f>
        <v/>
      </c>
      <c r="P52" s="6" t="str">
        <f>IF(ISERROR(VLOOKUP($A52,'Plano de Contas'!#REF!,10,FALSE)),"",VLOOKUP($A52,'Plano de Contas'!#REF!,10,FALSE))</f>
        <v/>
      </c>
      <c r="R52" s="6" t="e">
        <f>VLOOKUP(A52,'Plano de Contas'!#REF!,12,FALSE)</f>
        <v>#REF!</v>
      </c>
      <c r="T52" s="6" t="e">
        <f>VLOOKUP(A52,'Plano de Contas'!#REF!,13,FALSE)</f>
        <v>#REF!</v>
      </c>
    </row>
    <row r="53" spans="1:20" s="5" customFormat="1" x14ac:dyDescent="0.25">
      <c r="A53" t="s">
        <v>120</v>
      </c>
      <c r="B53">
        <v>33</v>
      </c>
      <c r="C53" t="s">
        <v>121</v>
      </c>
      <c r="D53" s="10">
        <v>2006126.57</v>
      </c>
      <c r="E53"/>
      <c r="F53" s="10">
        <v>4521.43</v>
      </c>
      <c r="G53"/>
      <c r="H53" s="10">
        <v>2010648</v>
      </c>
      <c r="I53" t="s">
        <v>35</v>
      </c>
      <c r="J53" s="10">
        <v>0</v>
      </c>
      <c r="K53"/>
      <c r="L53" s="48">
        <f t="shared" si="0"/>
        <v>0</v>
      </c>
      <c r="N53" s="6" t="str">
        <f>IF(ISERROR(VLOOKUP($A53,'Plano de Contas'!#REF!,8,FALSE)),"",VLOOKUP($A53,'Plano de Contas'!#REF!,8,FALSE))</f>
        <v/>
      </c>
      <c r="P53" s="6" t="str">
        <f>IF(ISERROR(VLOOKUP($A53,'Plano de Contas'!#REF!,10,FALSE)),"",VLOOKUP($A53,'Plano de Contas'!#REF!,10,FALSE))</f>
        <v/>
      </c>
      <c r="R53" s="6" t="e">
        <f>VLOOKUP(A53,'Plano de Contas'!#REF!,12,FALSE)</f>
        <v>#REF!</v>
      </c>
      <c r="T53" s="6" t="e">
        <f>VLOOKUP(A53,'Plano de Contas'!#REF!,13,FALSE)</f>
        <v>#REF!</v>
      </c>
    </row>
    <row r="54" spans="1:20" s="5" customFormat="1" x14ac:dyDescent="0.25">
      <c r="A54"/>
      <c r="B54"/>
      <c r="C54"/>
      <c r="D54" s="10"/>
      <c r="E54"/>
      <c r="F54" s="10"/>
      <c r="G54"/>
      <c r="H54" s="10"/>
      <c r="I54"/>
      <c r="J54" s="10"/>
      <c r="K54"/>
      <c r="L54" s="48">
        <f t="shared" si="0"/>
        <v>0</v>
      </c>
      <c r="N54" s="6" t="str">
        <f>IF(ISERROR(VLOOKUP($A54,'Plano de Contas'!#REF!,8,FALSE)),"",VLOOKUP($A54,'Plano de Contas'!#REF!,8,FALSE))</f>
        <v/>
      </c>
      <c r="P54" s="6" t="str">
        <f>IF(ISERROR(VLOOKUP($A54,'Plano de Contas'!#REF!,10,FALSE)),"",VLOOKUP($A54,'Plano de Contas'!#REF!,10,FALSE))</f>
        <v/>
      </c>
      <c r="R54" s="6" t="e">
        <f>VLOOKUP(A54,'Plano de Contas'!#REF!,12,FALSE)</f>
        <v>#REF!</v>
      </c>
      <c r="T54" s="6" t="e">
        <f>VLOOKUP(A54,'Plano de Contas'!#REF!,13,FALSE)</f>
        <v>#REF!</v>
      </c>
    </row>
    <row r="55" spans="1:20" s="5" customFormat="1" x14ac:dyDescent="0.25">
      <c r="A55" t="s">
        <v>122</v>
      </c>
      <c r="B55">
        <v>34</v>
      </c>
      <c r="C55" t="s">
        <v>123</v>
      </c>
      <c r="D55" s="10">
        <v>347779.71</v>
      </c>
      <c r="E55"/>
      <c r="F55" s="10">
        <v>313058.88</v>
      </c>
      <c r="G55"/>
      <c r="H55" s="10">
        <v>204467.87</v>
      </c>
      <c r="I55" t="s">
        <v>35</v>
      </c>
      <c r="J55" s="10">
        <v>456370.72</v>
      </c>
      <c r="K55"/>
      <c r="L55" s="48">
        <f t="shared" si="0"/>
        <v>456370.72</v>
      </c>
      <c r="N55" s="6" t="str">
        <f>IF(ISERROR(VLOOKUP($A55,'Plano de Contas'!#REF!,8,FALSE)),"",VLOOKUP($A55,'Plano de Contas'!#REF!,8,FALSE))</f>
        <v/>
      </c>
      <c r="P55" s="6" t="str">
        <f>IF(ISERROR(VLOOKUP($A55,'Plano de Contas'!#REF!,10,FALSE)),"",VLOOKUP($A55,'Plano de Contas'!#REF!,10,FALSE))</f>
        <v/>
      </c>
      <c r="R55" s="6" t="e">
        <f>VLOOKUP(A55,'Plano de Contas'!#REF!,12,FALSE)</f>
        <v>#REF!</v>
      </c>
      <c r="T55" s="6" t="e">
        <f>VLOOKUP(A55,'Plano de Contas'!#REF!,13,FALSE)</f>
        <v>#REF!</v>
      </c>
    </row>
    <row r="56" spans="1:20" s="5" customFormat="1" x14ac:dyDescent="0.25">
      <c r="A56" t="s">
        <v>124</v>
      </c>
      <c r="B56">
        <v>35</v>
      </c>
      <c r="C56" t="s">
        <v>125</v>
      </c>
      <c r="D56" s="10">
        <v>294550.23</v>
      </c>
      <c r="E56"/>
      <c r="F56" s="10">
        <v>16847.91</v>
      </c>
      <c r="G56"/>
      <c r="H56" s="10">
        <v>50533.8</v>
      </c>
      <c r="I56" t="s">
        <v>35</v>
      </c>
      <c r="J56" s="10">
        <v>260864.34</v>
      </c>
      <c r="K56"/>
      <c r="L56" s="48">
        <f t="shared" si="0"/>
        <v>260864.34</v>
      </c>
      <c r="N56" s="6" t="str">
        <f>IF(ISERROR(VLOOKUP($A56,'Plano de Contas'!#REF!,8,FALSE)),"",VLOOKUP($A56,'Plano de Contas'!#REF!,8,FALSE))</f>
        <v/>
      </c>
      <c r="P56" s="6" t="str">
        <f>IF(ISERROR(VLOOKUP($A56,'Plano de Contas'!#REF!,10,FALSE)),"",VLOOKUP($A56,'Plano de Contas'!#REF!,10,FALSE))</f>
        <v/>
      </c>
      <c r="R56" s="6" t="e">
        <f>VLOOKUP(A56,'Plano de Contas'!#REF!,12,FALSE)</f>
        <v>#REF!</v>
      </c>
      <c r="T56" s="6" t="e">
        <f>VLOOKUP(A56,'Plano de Contas'!#REF!,13,FALSE)</f>
        <v>#REF!</v>
      </c>
    </row>
    <row r="57" spans="1:20" s="5" customFormat="1" x14ac:dyDescent="0.25">
      <c r="A57" t="s">
        <v>126</v>
      </c>
      <c r="B57">
        <v>36</v>
      </c>
      <c r="C57" t="s">
        <v>127</v>
      </c>
      <c r="D57" s="10">
        <v>34172.6</v>
      </c>
      <c r="E57"/>
      <c r="F57" s="10">
        <v>287823.15000000002</v>
      </c>
      <c r="G57"/>
      <c r="H57" s="10">
        <v>-153704.15</v>
      </c>
      <c r="I57"/>
      <c r="J57" s="10">
        <v>168291.6</v>
      </c>
      <c r="K57"/>
      <c r="L57" s="48">
        <f t="shared" si="0"/>
        <v>168291.6</v>
      </c>
      <c r="N57" s="6" t="str">
        <f>IF(ISERROR(VLOOKUP($A57,'Plano de Contas'!#REF!,8,FALSE)),"",VLOOKUP($A57,'Plano de Contas'!#REF!,8,FALSE))</f>
        <v/>
      </c>
      <c r="P57" s="6" t="str">
        <f>IF(ISERROR(VLOOKUP($A57,'Plano de Contas'!#REF!,10,FALSE)),"",VLOOKUP($A57,'Plano de Contas'!#REF!,10,FALSE))</f>
        <v/>
      </c>
      <c r="R57" s="6" t="e">
        <f>VLOOKUP(A57,'Plano de Contas'!#REF!,12,FALSE)</f>
        <v>#REF!</v>
      </c>
      <c r="T57" s="6" t="e">
        <f>VLOOKUP(A57,'Plano de Contas'!#REF!,13,FALSE)</f>
        <v>#REF!</v>
      </c>
    </row>
    <row r="58" spans="1:20" s="5" customFormat="1" x14ac:dyDescent="0.25">
      <c r="A58" t="s">
        <v>128</v>
      </c>
      <c r="B58">
        <v>38</v>
      </c>
      <c r="C58" t="s">
        <v>129</v>
      </c>
      <c r="D58" s="10">
        <v>5880</v>
      </c>
      <c r="E58"/>
      <c r="F58" s="10">
        <v>0</v>
      </c>
      <c r="G58"/>
      <c r="H58" s="10">
        <v>0</v>
      </c>
      <c r="I58"/>
      <c r="J58" s="10">
        <v>5880</v>
      </c>
      <c r="K58"/>
      <c r="L58" s="1">
        <f t="shared" si="0"/>
        <v>5880</v>
      </c>
      <c r="N58" s="6" t="str">
        <f>IF(ISERROR(VLOOKUP($A58,'Plano de Contas'!#REF!,8,FALSE)),"",VLOOKUP($A58,'Plano de Contas'!#REF!,8,FALSE))</f>
        <v/>
      </c>
      <c r="P58" s="6" t="str">
        <f>IF(ISERROR(VLOOKUP($A58,'Plano de Contas'!#REF!,10,FALSE)),"",VLOOKUP($A58,'Plano de Contas'!#REF!,10,FALSE))</f>
        <v/>
      </c>
      <c r="R58" s="6" t="e">
        <f>VLOOKUP(A58,'Plano de Contas'!#REF!,12,FALSE)</f>
        <v>#REF!</v>
      </c>
      <c r="T58" s="6" t="e">
        <f>VLOOKUP(A58,'Plano de Contas'!#REF!,13,FALSE)</f>
        <v>#REF!</v>
      </c>
    </row>
    <row r="59" spans="1:20" s="5" customFormat="1" x14ac:dyDescent="0.25">
      <c r="A59" t="s">
        <v>130</v>
      </c>
      <c r="B59">
        <v>39</v>
      </c>
      <c r="C59" t="s">
        <v>131</v>
      </c>
      <c r="D59" s="10">
        <v>294.22000000000003</v>
      </c>
      <c r="E59"/>
      <c r="F59" s="10">
        <v>0</v>
      </c>
      <c r="G59"/>
      <c r="H59" s="10">
        <v>0</v>
      </c>
      <c r="I59"/>
      <c r="J59" s="10">
        <v>294.22000000000003</v>
      </c>
      <c r="K59"/>
      <c r="L59" s="1">
        <f t="shared" si="0"/>
        <v>294.22000000000003</v>
      </c>
      <c r="N59" s="6" t="str">
        <f>IF(ISERROR(VLOOKUP($A59,'Plano de Contas'!#REF!,8,FALSE)),"",VLOOKUP($A59,'Plano de Contas'!#REF!,8,FALSE))</f>
        <v/>
      </c>
      <c r="P59" s="6" t="str">
        <f>IF(ISERROR(VLOOKUP($A59,'Plano de Contas'!#REF!,10,FALSE)),"",VLOOKUP($A59,'Plano de Contas'!#REF!,10,FALSE))</f>
        <v/>
      </c>
      <c r="R59" s="6" t="e">
        <f>VLOOKUP(A59,'Plano de Contas'!#REF!,12,FALSE)</f>
        <v>#REF!</v>
      </c>
      <c r="T59" s="6" t="e">
        <f>VLOOKUP(A59,'Plano de Contas'!#REF!,13,FALSE)</f>
        <v>#REF!</v>
      </c>
    </row>
    <row r="60" spans="1:20" s="5" customFormat="1" x14ac:dyDescent="0.25">
      <c r="A60" t="s">
        <v>132</v>
      </c>
      <c r="B60">
        <v>314</v>
      </c>
      <c r="C60" t="s">
        <v>133</v>
      </c>
      <c r="D60" s="10">
        <v>12882.66</v>
      </c>
      <c r="E60"/>
      <c r="F60" s="10">
        <v>8387.82</v>
      </c>
      <c r="G60"/>
      <c r="H60">
        <v>229.92</v>
      </c>
      <c r="I60" t="s">
        <v>35</v>
      </c>
      <c r="J60" s="10">
        <v>21040.560000000001</v>
      </c>
      <c r="K60"/>
      <c r="L60" s="49">
        <f t="shared" si="0"/>
        <v>21040.560000000001</v>
      </c>
      <c r="N60" s="6" t="str">
        <f>IF(ISERROR(VLOOKUP($A60,'Plano de Contas'!#REF!,8,FALSE)),"",VLOOKUP($A60,'Plano de Contas'!#REF!,8,FALSE))</f>
        <v/>
      </c>
      <c r="P60" s="6" t="str">
        <f>IF(ISERROR(VLOOKUP($A60,'Plano de Contas'!#REF!,10,FALSE)),"",VLOOKUP($A60,'Plano de Contas'!#REF!,10,FALSE))</f>
        <v/>
      </c>
      <c r="R60" s="6" t="e">
        <f>VLOOKUP(A60,'Plano de Contas'!#REF!,12,FALSE)</f>
        <v>#REF!</v>
      </c>
      <c r="T60" s="6" t="e">
        <f>VLOOKUP(A60,'Plano de Contas'!#REF!,13,FALSE)</f>
        <v>#REF!</v>
      </c>
    </row>
    <row r="61" spans="1:20" s="5" customFormat="1" x14ac:dyDescent="0.25">
      <c r="A61"/>
      <c r="B61"/>
      <c r="C61"/>
      <c r="D61"/>
      <c r="E61"/>
      <c r="F61"/>
      <c r="G61"/>
      <c r="H61"/>
      <c r="I61"/>
      <c r="J61"/>
      <c r="K61"/>
      <c r="L61" s="49">
        <f t="shared" si="0"/>
        <v>0</v>
      </c>
      <c r="N61" s="6" t="str">
        <f>IF(ISERROR(VLOOKUP($A61,'Plano de Contas'!#REF!,8,FALSE)),"",VLOOKUP($A61,'Plano de Contas'!#REF!,8,FALSE))</f>
        <v/>
      </c>
      <c r="P61" s="6" t="str">
        <f>IF(ISERROR(VLOOKUP($A61,'Plano de Contas'!#REF!,10,FALSE)),"",VLOOKUP($A61,'Plano de Contas'!#REF!,10,FALSE))</f>
        <v/>
      </c>
      <c r="R61" s="6" t="e">
        <f>VLOOKUP(A61,'Plano de Contas'!#REF!,12,FALSE)</f>
        <v>#REF!</v>
      </c>
      <c r="T61" s="6" t="e">
        <f>VLOOKUP(A61,'Plano de Contas'!#REF!,13,FALSE)</f>
        <v>#REF!</v>
      </c>
    </row>
    <row r="62" spans="1:20" s="5" customFormat="1" x14ac:dyDescent="0.25">
      <c r="A62" t="s">
        <v>134</v>
      </c>
      <c r="B62">
        <v>40</v>
      </c>
      <c r="C62" t="s">
        <v>135</v>
      </c>
      <c r="D62" s="10">
        <v>15436919.390000001</v>
      </c>
      <c r="E62"/>
      <c r="F62" s="10">
        <v>4122855.47</v>
      </c>
      <c r="G62"/>
      <c r="H62" s="10">
        <v>11913013.109999999</v>
      </c>
      <c r="I62" t="s">
        <v>35</v>
      </c>
      <c r="J62" s="10">
        <v>7646761.75</v>
      </c>
      <c r="K62"/>
      <c r="L62" s="49">
        <f t="shared" si="0"/>
        <v>7646761.75</v>
      </c>
      <c r="N62" s="6" t="str">
        <f>IF(ISERROR(VLOOKUP($A62,'Plano de Contas'!#REF!,8,FALSE)),"",VLOOKUP($A62,'Plano de Contas'!#REF!,8,FALSE))</f>
        <v/>
      </c>
      <c r="P62" s="6" t="str">
        <f>IF(ISERROR(VLOOKUP($A62,'Plano de Contas'!#REF!,10,FALSE)),"",VLOOKUP($A62,'Plano de Contas'!#REF!,10,FALSE))</f>
        <v/>
      </c>
      <c r="R62" s="6" t="e">
        <f>VLOOKUP(A62,'Plano de Contas'!#REF!,12,FALSE)</f>
        <v>#REF!</v>
      </c>
      <c r="T62" s="6" t="e">
        <f>VLOOKUP(A62,'Plano de Contas'!#REF!,13,FALSE)</f>
        <v>#REF!</v>
      </c>
    </row>
    <row r="63" spans="1:20" s="5" customFormat="1" x14ac:dyDescent="0.25">
      <c r="A63" t="s">
        <v>136</v>
      </c>
      <c r="B63">
        <v>41</v>
      </c>
      <c r="C63" t="s">
        <v>1145</v>
      </c>
      <c r="D63" s="10">
        <v>770351.81</v>
      </c>
      <c r="E63"/>
      <c r="F63" s="10">
        <v>16579.11</v>
      </c>
      <c r="G63"/>
      <c r="H63" s="10">
        <v>786930.92</v>
      </c>
      <c r="I63" t="s">
        <v>35</v>
      </c>
      <c r="J63" s="10">
        <v>0</v>
      </c>
      <c r="K63"/>
      <c r="L63" s="49">
        <f t="shared" si="0"/>
        <v>0</v>
      </c>
      <c r="N63" s="6" t="str">
        <f>IF(ISERROR(VLOOKUP($A63,'Plano de Contas'!#REF!,8,FALSE)),"",VLOOKUP($A63,'Plano de Contas'!#REF!,8,FALSE))</f>
        <v/>
      </c>
      <c r="P63" s="6" t="str">
        <f>IF(ISERROR(VLOOKUP($A63,'Plano de Contas'!#REF!,10,FALSE)),"",VLOOKUP($A63,'Plano de Contas'!#REF!,10,FALSE))</f>
        <v/>
      </c>
      <c r="R63" s="6" t="e">
        <f>VLOOKUP(A63,'Plano de Contas'!#REF!,12,FALSE)</f>
        <v>#REF!</v>
      </c>
      <c r="T63" s="6" t="e">
        <f>VLOOKUP(A63,'Plano de Contas'!#REF!,13,FALSE)</f>
        <v>#REF!</v>
      </c>
    </row>
    <row r="64" spans="1:20" s="5" customFormat="1" x14ac:dyDescent="0.25">
      <c r="A64" t="s">
        <v>138</v>
      </c>
      <c r="B64">
        <v>43</v>
      </c>
      <c r="C64" t="s">
        <v>139</v>
      </c>
      <c r="D64" s="10">
        <v>242086.31</v>
      </c>
      <c r="E64"/>
      <c r="F64" s="10">
        <v>3827.68</v>
      </c>
      <c r="G64"/>
      <c r="H64" s="10">
        <v>0</v>
      </c>
      <c r="I64"/>
      <c r="J64" s="120">
        <v>245913.99</v>
      </c>
      <c r="K64"/>
      <c r="L64" s="49">
        <f t="shared" si="0"/>
        <v>245913.99</v>
      </c>
      <c r="N64" s="6" t="str">
        <f>IF(ISERROR(VLOOKUP($A64,'Plano de Contas'!#REF!,8,FALSE)),"",VLOOKUP($A64,'Plano de Contas'!#REF!,8,FALSE))</f>
        <v/>
      </c>
      <c r="P64" s="6" t="str">
        <f>IF(ISERROR(VLOOKUP($A64,'Plano de Contas'!#REF!,10,FALSE)),"",VLOOKUP($A64,'Plano de Contas'!#REF!,10,FALSE))</f>
        <v/>
      </c>
      <c r="R64" s="6" t="e">
        <f>VLOOKUP(A64,'Plano de Contas'!#REF!,12,FALSE)</f>
        <v>#REF!</v>
      </c>
      <c r="T64" s="6" t="e">
        <f>VLOOKUP(A64,'Plano de Contas'!#REF!,13,FALSE)</f>
        <v>#REF!</v>
      </c>
    </row>
    <row r="65" spans="1:20" s="5" customFormat="1" x14ac:dyDescent="0.25">
      <c r="A65" t="s">
        <v>140</v>
      </c>
      <c r="B65">
        <v>474</v>
      </c>
      <c r="C65" t="s">
        <v>141</v>
      </c>
      <c r="D65" s="10">
        <v>33149.9</v>
      </c>
      <c r="E65"/>
      <c r="F65" s="10">
        <v>8698.7199999999993</v>
      </c>
      <c r="G65"/>
      <c r="H65" s="10">
        <v>8698.75</v>
      </c>
      <c r="I65" t="s">
        <v>35</v>
      </c>
      <c r="J65" s="120">
        <v>33149.870000000003</v>
      </c>
      <c r="K65"/>
      <c r="L65" s="48">
        <f t="shared" si="0"/>
        <v>33149.870000000003</v>
      </c>
      <c r="N65" s="6" t="str">
        <f>IF(ISERROR(VLOOKUP($A65,'Plano de Contas'!#REF!,8,FALSE)),"",VLOOKUP($A65,'Plano de Contas'!#REF!,8,FALSE))</f>
        <v/>
      </c>
      <c r="P65" s="6" t="str">
        <f>IF(ISERROR(VLOOKUP($A65,'Plano de Contas'!#REF!,10,FALSE)),"",VLOOKUP($A65,'Plano de Contas'!#REF!,10,FALSE))</f>
        <v/>
      </c>
      <c r="R65" s="6" t="e">
        <f>VLOOKUP(A65,'Plano de Contas'!#REF!,12,FALSE)</f>
        <v>#REF!</v>
      </c>
      <c r="T65" s="6" t="e">
        <f>VLOOKUP(A65,'Plano de Contas'!#REF!,13,FALSE)</f>
        <v>#REF!</v>
      </c>
    </row>
    <row r="66" spans="1:20" s="5" customFormat="1" x14ac:dyDescent="0.25">
      <c r="A66" t="s">
        <v>142</v>
      </c>
      <c r="B66">
        <v>475</v>
      </c>
      <c r="C66" t="s">
        <v>143</v>
      </c>
      <c r="D66" s="10">
        <v>141240.85</v>
      </c>
      <c r="E66"/>
      <c r="F66" s="10">
        <v>40147.919999999998</v>
      </c>
      <c r="G66"/>
      <c r="H66" s="10">
        <v>40147.910000000003</v>
      </c>
      <c r="I66" t="s">
        <v>35</v>
      </c>
      <c r="J66" s="120">
        <v>141240.85999999999</v>
      </c>
      <c r="K66"/>
      <c r="L66" s="49">
        <f t="shared" si="0"/>
        <v>141240.85999999999</v>
      </c>
      <c r="N66" s="6" t="str">
        <f>IF(ISERROR(VLOOKUP($A66,'Plano de Contas'!#REF!,8,FALSE)),"",VLOOKUP($A66,'Plano de Contas'!#REF!,8,FALSE))</f>
        <v/>
      </c>
      <c r="P66" s="6" t="str">
        <f>IF(ISERROR(VLOOKUP($A66,'Plano de Contas'!#REF!,10,FALSE)),"",VLOOKUP($A66,'Plano de Contas'!#REF!,10,FALSE))</f>
        <v/>
      </c>
      <c r="R66" s="6" t="e">
        <f>VLOOKUP(A66,'Plano de Contas'!#REF!,12,FALSE)</f>
        <v>#REF!</v>
      </c>
      <c r="T66" s="6" t="e">
        <f>VLOOKUP(A66,'Plano de Contas'!#REF!,13,FALSE)</f>
        <v>#REF!</v>
      </c>
    </row>
    <row r="67" spans="1:20" s="5" customFormat="1" x14ac:dyDescent="0.25">
      <c r="A67" t="s">
        <v>144</v>
      </c>
      <c r="B67">
        <v>491</v>
      </c>
      <c r="C67" t="s">
        <v>145</v>
      </c>
      <c r="D67" s="10">
        <v>2364209.1</v>
      </c>
      <c r="E67"/>
      <c r="F67" s="10">
        <v>64236.63</v>
      </c>
      <c r="G67"/>
      <c r="H67" s="10">
        <v>2428445.73</v>
      </c>
      <c r="I67" t="s">
        <v>35</v>
      </c>
      <c r="J67" s="10">
        <v>0</v>
      </c>
      <c r="K67"/>
      <c r="L67" s="49">
        <f t="shared" si="0"/>
        <v>0</v>
      </c>
      <c r="N67" s="6" t="str">
        <f>IF(ISERROR(VLOOKUP($A67,'Plano de Contas'!#REF!,8,FALSE)),"",VLOOKUP($A67,'Plano de Contas'!#REF!,8,FALSE))</f>
        <v/>
      </c>
      <c r="P67" s="6" t="str">
        <f>IF(ISERROR(VLOOKUP($A67,'Plano de Contas'!#REF!,10,FALSE)),"",VLOOKUP($A67,'Plano de Contas'!#REF!,10,FALSE))</f>
        <v/>
      </c>
      <c r="R67" s="6" t="e">
        <f>VLOOKUP(A67,'Plano de Contas'!#REF!,12,FALSE)</f>
        <v>#REF!</v>
      </c>
      <c r="T67" s="6" t="e">
        <f>VLOOKUP(A67,'Plano de Contas'!#REF!,13,FALSE)</f>
        <v>#REF!</v>
      </c>
    </row>
    <row r="68" spans="1:20" s="5" customFormat="1" x14ac:dyDescent="0.25">
      <c r="A68" t="s">
        <v>146</v>
      </c>
      <c r="B68">
        <v>493</v>
      </c>
      <c r="C68" t="s">
        <v>147</v>
      </c>
      <c r="D68" s="10">
        <v>357.79</v>
      </c>
      <c r="E68"/>
      <c r="F68" s="10">
        <v>0</v>
      </c>
      <c r="G68"/>
      <c r="H68" s="10">
        <v>0</v>
      </c>
      <c r="I68"/>
      <c r="J68" s="10">
        <v>357.79</v>
      </c>
      <c r="K68"/>
      <c r="L68" s="49">
        <f t="shared" si="0"/>
        <v>357.79</v>
      </c>
      <c r="N68" s="6" t="str">
        <f>IF(ISERROR(VLOOKUP($A68,'Plano de Contas'!#REF!,8,FALSE)),"",VLOOKUP($A68,'Plano de Contas'!#REF!,8,FALSE))</f>
        <v/>
      </c>
      <c r="P68" s="6" t="str">
        <f>IF(ISERROR(VLOOKUP($A68,'Plano de Contas'!#REF!,10,FALSE)),"",VLOOKUP($A68,'Plano de Contas'!#REF!,10,FALSE))</f>
        <v/>
      </c>
      <c r="R68" s="6" t="e">
        <f>VLOOKUP(A68,'Plano de Contas'!#REF!,12,FALSE)</f>
        <v>#REF!</v>
      </c>
      <c r="T68" s="6" t="e">
        <f>VLOOKUP(A68,'Plano de Contas'!#REF!,13,FALSE)</f>
        <v>#REF!</v>
      </c>
    </row>
    <row r="69" spans="1:20" s="5" customFormat="1" x14ac:dyDescent="0.25">
      <c r="A69" t="s">
        <v>148</v>
      </c>
      <c r="B69">
        <v>501</v>
      </c>
      <c r="C69" t="s">
        <v>149</v>
      </c>
      <c r="D69" s="10">
        <v>492542.51</v>
      </c>
      <c r="E69"/>
      <c r="F69" s="10">
        <v>13382.54</v>
      </c>
      <c r="G69"/>
      <c r="H69" s="10">
        <v>505925.05</v>
      </c>
      <c r="I69" t="s">
        <v>35</v>
      </c>
      <c r="J69" s="10">
        <v>0</v>
      </c>
      <c r="K69"/>
      <c r="L69" s="49">
        <f t="shared" si="0"/>
        <v>0</v>
      </c>
      <c r="N69" s="6" t="str">
        <f>IF(ISERROR(VLOOKUP($A69,'Plano de Contas'!#REF!,8,FALSE)),"",VLOOKUP($A69,'Plano de Contas'!#REF!,8,FALSE))</f>
        <v/>
      </c>
      <c r="P69" s="6" t="str">
        <f>IF(ISERROR(VLOOKUP($A69,'Plano de Contas'!#REF!,10,FALSE)),"",VLOOKUP($A69,'Plano de Contas'!#REF!,10,FALSE))</f>
        <v/>
      </c>
      <c r="R69" s="6" t="e">
        <f>VLOOKUP(A69,'Plano de Contas'!#REF!,12,FALSE)</f>
        <v>#REF!</v>
      </c>
      <c r="T69" s="6" t="e">
        <f>VLOOKUP(A69,'Plano de Contas'!#REF!,13,FALSE)</f>
        <v>#REF!</v>
      </c>
    </row>
    <row r="70" spans="1:20" s="5" customFormat="1" x14ac:dyDescent="0.25">
      <c r="A70" t="s">
        <v>150</v>
      </c>
      <c r="B70">
        <v>608</v>
      </c>
      <c r="C70" t="s">
        <v>151</v>
      </c>
      <c r="D70" s="10">
        <v>5782.2</v>
      </c>
      <c r="E70"/>
      <c r="F70" s="10">
        <v>1510.92</v>
      </c>
      <c r="G70"/>
      <c r="H70">
        <v>0</v>
      </c>
      <c r="I70"/>
      <c r="J70" s="120">
        <v>7293.12</v>
      </c>
      <c r="K70"/>
      <c r="L70" s="49">
        <f t="shared" si="0"/>
        <v>7293.12</v>
      </c>
      <c r="N70" s="6" t="str">
        <f>IF(ISERROR(VLOOKUP($A70,'Plano de Contas'!#REF!,8,FALSE)),"",VLOOKUP($A70,'Plano de Contas'!#REF!,8,FALSE))</f>
        <v/>
      </c>
      <c r="P70" s="6" t="str">
        <f>IF(ISERROR(VLOOKUP($A70,'Plano de Contas'!#REF!,10,FALSE)),"",VLOOKUP($A70,'Plano de Contas'!#REF!,10,FALSE))</f>
        <v/>
      </c>
      <c r="R70" s="6" t="e">
        <f>VLOOKUP(A70,'Plano de Contas'!#REF!,12,FALSE)</f>
        <v>#REF!</v>
      </c>
      <c r="T70" s="6" t="e">
        <f>VLOOKUP(A70,'Plano de Contas'!#REF!,13,FALSE)</f>
        <v>#REF!</v>
      </c>
    </row>
    <row r="71" spans="1:20" s="5" customFormat="1" x14ac:dyDescent="0.25">
      <c r="A71" t="s">
        <v>152</v>
      </c>
      <c r="B71">
        <v>609</v>
      </c>
      <c r="C71" t="s">
        <v>153</v>
      </c>
      <c r="D71" s="10">
        <v>35582.769999999997</v>
      </c>
      <c r="E71"/>
      <c r="F71" s="10">
        <v>9297.99</v>
      </c>
      <c r="G71"/>
      <c r="H71">
        <v>0</v>
      </c>
      <c r="I71"/>
      <c r="J71" s="120">
        <v>44880.76</v>
      </c>
      <c r="K71"/>
      <c r="L71" s="49">
        <f t="shared" si="0"/>
        <v>44880.76</v>
      </c>
      <c r="N71" s="6" t="str">
        <f>IF(ISERROR(VLOOKUP($A71,'Plano de Contas'!#REF!,8,FALSE)),"",VLOOKUP($A71,'Plano de Contas'!#REF!,8,FALSE))</f>
        <v/>
      </c>
      <c r="P71" s="6" t="str">
        <f>IF(ISERROR(VLOOKUP($A71,'Plano de Contas'!#REF!,10,FALSE)),"",VLOOKUP($A71,'Plano de Contas'!#REF!,10,FALSE))</f>
        <v/>
      </c>
      <c r="R71" s="6" t="e">
        <f>VLOOKUP(A71,'Plano de Contas'!#REF!,12,FALSE)</f>
        <v>#REF!</v>
      </c>
      <c r="T71" s="6" t="e">
        <f>VLOOKUP(A71,'Plano de Contas'!#REF!,13,FALSE)</f>
        <v>#REF!</v>
      </c>
    </row>
    <row r="72" spans="1:20" s="5" customFormat="1" x14ac:dyDescent="0.25">
      <c r="A72" t="s">
        <v>158</v>
      </c>
      <c r="B72">
        <v>636</v>
      </c>
      <c r="C72" t="s">
        <v>159</v>
      </c>
      <c r="D72" s="10">
        <v>106533.13</v>
      </c>
      <c r="E72"/>
      <c r="F72" s="10">
        <v>0</v>
      </c>
      <c r="G72"/>
      <c r="H72" s="10">
        <v>0</v>
      </c>
      <c r="I72"/>
      <c r="J72" s="10">
        <v>106533.13</v>
      </c>
      <c r="K72"/>
      <c r="L72" s="49">
        <f t="shared" ref="L72:L135" si="1">IF(K72="-",-J72,J72)</f>
        <v>106533.13</v>
      </c>
      <c r="N72" s="6" t="str">
        <f>IF(ISERROR(VLOOKUP($A72,'Plano de Contas'!#REF!,8,FALSE)),"",VLOOKUP($A72,'Plano de Contas'!#REF!,8,FALSE))</f>
        <v/>
      </c>
      <c r="P72" s="6" t="str">
        <f>IF(ISERROR(VLOOKUP($A72,'Plano de Contas'!#REF!,10,FALSE)),"",VLOOKUP($A72,'Plano de Contas'!#REF!,10,FALSE))</f>
        <v/>
      </c>
      <c r="R72" s="6" t="e">
        <f>VLOOKUP(A72,'Plano de Contas'!#REF!,12,FALSE)</f>
        <v>#REF!</v>
      </c>
      <c r="T72" s="6" t="e">
        <f>VLOOKUP(A72,'Plano de Contas'!#REF!,13,FALSE)</f>
        <v>#REF!</v>
      </c>
    </row>
    <row r="73" spans="1:20" s="5" customFormat="1" x14ac:dyDescent="0.25">
      <c r="A73" t="s">
        <v>160</v>
      </c>
      <c r="B73">
        <v>635</v>
      </c>
      <c r="C73" t="s">
        <v>161</v>
      </c>
      <c r="D73" s="10">
        <v>26180</v>
      </c>
      <c r="E73"/>
      <c r="F73" s="10">
        <v>0</v>
      </c>
      <c r="G73"/>
      <c r="H73">
        <v>0</v>
      </c>
      <c r="I73"/>
      <c r="J73" s="120">
        <v>26180</v>
      </c>
      <c r="K73"/>
      <c r="L73" s="49">
        <f t="shared" si="1"/>
        <v>26180</v>
      </c>
      <c r="N73" s="6" t="str">
        <f>IF(ISERROR(VLOOKUP($A73,'Plano de Contas'!#REF!,8,FALSE)),"",VLOOKUP($A73,'Plano de Contas'!#REF!,8,FALSE))</f>
        <v/>
      </c>
      <c r="P73" s="6" t="str">
        <f>IF(ISERROR(VLOOKUP($A73,'Plano de Contas'!#REF!,10,FALSE)),"",VLOOKUP($A73,'Plano de Contas'!#REF!,10,FALSE))</f>
        <v/>
      </c>
      <c r="R73" s="6" t="e">
        <f>VLOOKUP(A73,'Plano de Contas'!#REF!,12,FALSE)</f>
        <v>#REF!</v>
      </c>
      <c r="T73" s="6" t="e">
        <f>VLOOKUP(A73,'Plano de Contas'!#REF!,13,FALSE)</f>
        <v>#REF!</v>
      </c>
    </row>
    <row r="74" spans="1:20" s="5" customFormat="1" x14ac:dyDescent="0.25">
      <c r="A74" t="s">
        <v>172</v>
      </c>
      <c r="B74">
        <v>717</v>
      </c>
      <c r="C74" t="s">
        <v>173</v>
      </c>
      <c r="D74" s="10">
        <v>1007.74</v>
      </c>
      <c r="E74"/>
      <c r="F74" s="10">
        <v>0</v>
      </c>
      <c r="G74"/>
      <c r="H74">
        <v>0</v>
      </c>
      <c r="I74"/>
      <c r="J74" s="10">
        <v>1007.74</v>
      </c>
      <c r="K74"/>
      <c r="L74" s="49">
        <f t="shared" si="1"/>
        <v>1007.74</v>
      </c>
      <c r="N74" s="6" t="str">
        <f>IF(ISERROR(VLOOKUP($A74,'Plano de Contas'!#REF!,8,FALSE)),"",VLOOKUP($A74,'Plano de Contas'!#REF!,8,FALSE))</f>
        <v/>
      </c>
      <c r="P74" s="6" t="str">
        <f>IF(ISERROR(VLOOKUP($A74,'Plano de Contas'!#REF!,10,FALSE)),"",VLOOKUP($A74,'Plano de Contas'!#REF!,10,FALSE))</f>
        <v/>
      </c>
      <c r="R74" s="6" t="e">
        <f>VLOOKUP(A74,'Plano de Contas'!#REF!,12,FALSE)</f>
        <v>#REF!</v>
      </c>
      <c r="T74" s="6" t="e">
        <f>VLOOKUP(A74,'Plano de Contas'!#REF!,13,FALSE)</f>
        <v>#REF!</v>
      </c>
    </row>
    <row r="75" spans="1:20" s="5" customFormat="1" x14ac:dyDescent="0.25">
      <c r="A75" t="s">
        <v>174</v>
      </c>
      <c r="B75">
        <v>719</v>
      </c>
      <c r="C75" t="s">
        <v>997</v>
      </c>
      <c r="D75" s="10">
        <v>35717.19</v>
      </c>
      <c r="E75"/>
      <c r="F75" s="10">
        <v>0</v>
      </c>
      <c r="G75"/>
      <c r="H75" s="10">
        <v>0</v>
      </c>
      <c r="I75"/>
      <c r="J75" s="10">
        <v>35717.19</v>
      </c>
      <c r="K75"/>
      <c r="L75" s="49">
        <f t="shared" si="1"/>
        <v>35717.19</v>
      </c>
      <c r="N75" s="6" t="str">
        <f>IF(ISERROR(VLOOKUP($A75,'Plano de Contas'!#REF!,8,FALSE)),"",VLOOKUP($A75,'Plano de Contas'!#REF!,8,FALSE))</f>
        <v/>
      </c>
      <c r="P75" s="6" t="str">
        <f>IF(ISERROR(VLOOKUP($A75,'Plano de Contas'!#REF!,10,FALSE)),"",VLOOKUP($A75,'Plano de Contas'!#REF!,10,FALSE))</f>
        <v/>
      </c>
      <c r="R75" s="6" t="e">
        <f>VLOOKUP(A75,'Plano de Contas'!#REF!,12,FALSE)</f>
        <v>#REF!</v>
      </c>
      <c r="T75" s="6" t="e">
        <f>VLOOKUP(A75,'Plano de Contas'!#REF!,13,FALSE)</f>
        <v>#REF!</v>
      </c>
    </row>
    <row r="76" spans="1:20" s="5" customFormat="1" x14ac:dyDescent="0.25">
      <c r="A76" t="s">
        <v>176</v>
      </c>
      <c r="B76">
        <v>720</v>
      </c>
      <c r="C76" t="s">
        <v>177</v>
      </c>
      <c r="D76" s="10">
        <v>3922.66</v>
      </c>
      <c r="E76"/>
      <c r="F76" s="10">
        <v>0</v>
      </c>
      <c r="G76"/>
      <c r="H76" s="10">
        <v>0</v>
      </c>
      <c r="I76"/>
      <c r="J76" s="10">
        <v>3922.66</v>
      </c>
      <c r="K76"/>
      <c r="L76" s="49">
        <f t="shared" si="1"/>
        <v>3922.66</v>
      </c>
      <c r="N76" s="6" t="str">
        <f>IF(ISERROR(VLOOKUP($A76,'Plano de Contas'!#REF!,8,FALSE)),"",VLOOKUP($A76,'Plano de Contas'!#REF!,8,FALSE))</f>
        <v/>
      </c>
      <c r="P76" s="6" t="str">
        <f>IF(ISERROR(VLOOKUP($A76,'Plano de Contas'!#REF!,10,FALSE)),"",VLOOKUP($A76,'Plano de Contas'!#REF!,10,FALSE))</f>
        <v/>
      </c>
      <c r="R76" s="6" t="e">
        <f>VLOOKUP(A76,'Plano de Contas'!#REF!,12,FALSE)</f>
        <v>#REF!</v>
      </c>
      <c r="T76" s="6" t="e">
        <f>VLOOKUP(A76,'Plano de Contas'!#REF!,13,FALSE)</f>
        <v>#REF!</v>
      </c>
    </row>
    <row r="77" spans="1:20" s="5" customFormat="1" x14ac:dyDescent="0.25">
      <c r="A77" t="s">
        <v>184</v>
      </c>
      <c r="B77">
        <v>961</v>
      </c>
      <c r="C77" t="s">
        <v>185</v>
      </c>
      <c r="D77" s="10">
        <v>8237.2000000000007</v>
      </c>
      <c r="E77"/>
      <c r="F77" s="10">
        <v>0</v>
      </c>
      <c r="G77"/>
      <c r="H77">
        <v>0</v>
      </c>
      <c r="I77"/>
      <c r="J77" s="10">
        <v>8237.2000000000007</v>
      </c>
      <c r="K77"/>
      <c r="L77" s="49">
        <f t="shared" si="1"/>
        <v>8237.2000000000007</v>
      </c>
      <c r="N77" s="6" t="str">
        <f>IF(ISERROR(VLOOKUP($A77,'Plano de Contas'!#REF!,8,FALSE)),"",VLOOKUP($A77,'Plano de Contas'!#REF!,8,FALSE))</f>
        <v/>
      </c>
      <c r="P77" s="6" t="str">
        <f>IF(ISERROR(VLOOKUP($A77,'Plano de Contas'!#REF!,10,FALSE)),"",VLOOKUP($A77,'Plano de Contas'!#REF!,10,FALSE))</f>
        <v/>
      </c>
      <c r="R77" s="6" t="e">
        <f>VLOOKUP(A77,'Plano de Contas'!#REF!,12,FALSE)</f>
        <v>#REF!</v>
      </c>
      <c r="T77" s="6" t="e">
        <f>VLOOKUP(A77,'Plano de Contas'!#REF!,13,FALSE)</f>
        <v>#REF!</v>
      </c>
    </row>
    <row r="78" spans="1:20" s="5" customFormat="1" x14ac:dyDescent="0.25">
      <c r="A78" t="s">
        <v>1002</v>
      </c>
      <c r="B78">
        <v>1039</v>
      </c>
      <c r="C78" t="s">
        <v>1003</v>
      </c>
      <c r="D78" s="10">
        <v>56608.05</v>
      </c>
      <c r="E78"/>
      <c r="F78" s="10">
        <v>1373.31</v>
      </c>
      <c r="G78"/>
      <c r="H78">
        <v>0</v>
      </c>
      <c r="I78"/>
      <c r="J78" s="120">
        <v>57981.36</v>
      </c>
      <c r="K78"/>
      <c r="L78" s="49">
        <f t="shared" si="1"/>
        <v>57981.36</v>
      </c>
      <c r="N78" s="6" t="str">
        <f>IF(ISERROR(VLOOKUP($A78,'Plano de Contas'!#REF!,8,FALSE)),"",VLOOKUP($A78,'Plano de Contas'!#REF!,8,FALSE))</f>
        <v/>
      </c>
      <c r="P78" s="6" t="str">
        <f>IF(ISERROR(VLOOKUP($A78,'Plano de Contas'!#REF!,10,FALSE)),"",VLOOKUP($A78,'Plano de Contas'!#REF!,10,FALSE))</f>
        <v/>
      </c>
      <c r="R78" s="6" t="e">
        <f>VLOOKUP(A78,'Plano de Contas'!#REF!,12,FALSE)</f>
        <v>#REF!</v>
      </c>
      <c r="T78" s="6" t="e">
        <f>VLOOKUP(A78,'Plano de Contas'!#REF!,13,FALSE)</f>
        <v>#REF!</v>
      </c>
    </row>
    <row r="79" spans="1:20" s="5" customFormat="1" x14ac:dyDescent="0.25">
      <c r="A79" t="s">
        <v>1004</v>
      </c>
      <c r="B79">
        <v>1040</v>
      </c>
      <c r="C79" t="s">
        <v>1005</v>
      </c>
      <c r="D79" s="10">
        <v>269829.52</v>
      </c>
      <c r="E79"/>
      <c r="F79" s="10">
        <v>6325.53</v>
      </c>
      <c r="G79"/>
      <c r="H79">
        <v>0</v>
      </c>
      <c r="I79"/>
      <c r="J79" s="120">
        <v>276155.05</v>
      </c>
      <c r="K79"/>
      <c r="L79" s="49">
        <f t="shared" si="1"/>
        <v>276155.05</v>
      </c>
      <c r="N79" s="6" t="str">
        <f>IF(ISERROR(VLOOKUP($A79,'Plano de Contas'!#REF!,8,FALSE)),"",VLOOKUP($A79,'Plano de Contas'!#REF!,8,FALSE))</f>
        <v/>
      </c>
      <c r="P79" s="6" t="str">
        <f>IF(ISERROR(VLOOKUP($A79,'Plano de Contas'!#REF!,10,FALSE)),"",VLOOKUP($A79,'Plano de Contas'!#REF!,10,FALSE))</f>
        <v/>
      </c>
      <c r="R79" s="6" t="e">
        <f>VLOOKUP(A79,'Plano de Contas'!#REF!,12,FALSE)</f>
        <v>#REF!</v>
      </c>
      <c r="T79" s="6" t="e">
        <f>VLOOKUP(A79,'Plano de Contas'!#REF!,13,FALSE)</f>
        <v>#REF!</v>
      </c>
    </row>
    <row r="80" spans="1:20" s="5" customFormat="1" x14ac:dyDescent="0.25">
      <c r="A80" t="s">
        <v>1146</v>
      </c>
      <c r="B80">
        <v>1047</v>
      </c>
      <c r="C80" t="s">
        <v>1147</v>
      </c>
      <c r="D80" s="10">
        <v>7060072.6299999999</v>
      </c>
      <c r="E80"/>
      <c r="F80" s="10">
        <v>2843684.7</v>
      </c>
      <c r="G80"/>
      <c r="H80" s="10">
        <v>4728426.51</v>
      </c>
      <c r="I80" t="s">
        <v>35</v>
      </c>
      <c r="J80" s="120">
        <v>5175330.82</v>
      </c>
      <c r="K80"/>
      <c r="L80" s="49">
        <f t="shared" si="1"/>
        <v>5175330.82</v>
      </c>
      <c r="N80" s="6" t="str">
        <f>IF(ISERROR(VLOOKUP($A80,'Plano de Contas'!#REF!,8,FALSE)),"",VLOOKUP($A80,'Plano de Contas'!#REF!,8,FALSE))</f>
        <v/>
      </c>
      <c r="P80" s="6" t="str">
        <f>IF(ISERROR(VLOOKUP($A80,'Plano de Contas'!#REF!,10,FALSE)),"",VLOOKUP($A80,'Plano de Contas'!#REF!,10,FALSE))</f>
        <v/>
      </c>
      <c r="R80" s="6" t="e">
        <f>VLOOKUP(A80,'Plano de Contas'!#REF!,12,FALSE)</f>
        <v>#REF!</v>
      </c>
      <c r="T80" s="6" t="e">
        <f>VLOOKUP(A80,'Plano de Contas'!#REF!,13,FALSE)</f>
        <v>#REF!</v>
      </c>
    </row>
    <row r="81" spans="1:20" s="5" customFormat="1" x14ac:dyDescent="0.25">
      <c r="A81" t="s">
        <v>1148</v>
      </c>
      <c r="B81">
        <v>1048</v>
      </c>
      <c r="C81" t="s">
        <v>1149</v>
      </c>
      <c r="D81" s="10">
        <v>3178196.91</v>
      </c>
      <c r="E81"/>
      <c r="F81" s="10">
        <v>1083614.24</v>
      </c>
      <c r="G81"/>
      <c r="H81" s="10">
        <v>2792810.65</v>
      </c>
      <c r="I81" t="s">
        <v>35</v>
      </c>
      <c r="J81" s="120">
        <v>1469000.5</v>
      </c>
      <c r="K81"/>
      <c r="L81" s="49">
        <f t="shared" si="1"/>
        <v>1469000.5</v>
      </c>
      <c r="N81" s="6" t="str">
        <f>IF(ISERROR(VLOOKUP($A81,'Plano de Contas'!#REF!,8,FALSE)),"",VLOOKUP($A81,'Plano de Contas'!#REF!,8,FALSE))</f>
        <v/>
      </c>
      <c r="P81" s="6" t="str">
        <f>IF(ISERROR(VLOOKUP($A81,'Plano de Contas'!#REF!,10,FALSE)),"",VLOOKUP($A81,'Plano de Contas'!#REF!,10,FALSE))</f>
        <v/>
      </c>
      <c r="R81" s="6" t="e">
        <f>VLOOKUP(A81,'Plano de Contas'!#REF!,12,FALSE)</f>
        <v>#REF!</v>
      </c>
      <c r="T81" s="6" t="e">
        <f>VLOOKUP(A81,'Plano de Contas'!#REF!,13,FALSE)</f>
        <v>#REF!</v>
      </c>
    </row>
    <row r="82" spans="1:20" s="5" customFormat="1" x14ac:dyDescent="0.25">
      <c r="A82" t="s">
        <v>1150</v>
      </c>
      <c r="B82">
        <v>1078</v>
      </c>
      <c r="C82" t="s">
        <v>1151</v>
      </c>
      <c r="D82" s="10">
        <v>13859.71</v>
      </c>
      <c r="E82"/>
      <c r="F82" s="10">
        <v>0</v>
      </c>
      <c r="G82"/>
      <c r="H82">
        <v>0</v>
      </c>
      <c r="I82"/>
      <c r="J82" s="10">
        <v>13859.71</v>
      </c>
      <c r="K82"/>
      <c r="L82" s="49">
        <f t="shared" si="1"/>
        <v>13859.71</v>
      </c>
      <c r="N82" s="6" t="str">
        <f>IF(ISERROR(VLOOKUP($A82,'Plano de Contas'!#REF!,8,FALSE)),"",VLOOKUP($A82,'Plano de Contas'!#REF!,8,FALSE))</f>
        <v/>
      </c>
      <c r="P82" s="6" t="str">
        <f>IF(ISERROR(VLOOKUP($A82,'Plano de Contas'!#REF!,10,FALSE)),"",VLOOKUP($A82,'Plano de Contas'!#REF!,10,FALSE))</f>
        <v/>
      </c>
      <c r="R82" s="6" t="e">
        <f>VLOOKUP(A82,'Plano de Contas'!#REF!,12,FALSE)</f>
        <v>#REF!</v>
      </c>
      <c r="T82" s="6" t="e">
        <f>VLOOKUP(A82,'Plano de Contas'!#REF!,13,FALSE)</f>
        <v>#REF!</v>
      </c>
    </row>
    <row r="83" spans="1:20" s="5" customFormat="1" x14ac:dyDescent="0.25">
      <c r="A83" t="s">
        <v>1152</v>
      </c>
      <c r="B83">
        <v>1079</v>
      </c>
      <c r="C83" t="s">
        <v>1153</v>
      </c>
      <c r="D83" s="10">
        <v>338269.06</v>
      </c>
      <c r="E83"/>
      <c r="F83" s="10">
        <v>22417.62</v>
      </c>
      <c r="G83"/>
      <c r="H83" s="10">
        <v>360686.68</v>
      </c>
      <c r="I83" t="s">
        <v>35</v>
      </c>
      <c r="J83" s="10">
        <v>0</v>
      </c>
      <c r="K83"/>
      <c r="L83" s="49">
        <f t="shared" si="1"/>
        <v>0</v>
      </c>
      <c r="N83" s="6" t="str">
        <f>IF(ISERROR(VLOOKUP($A83,'Plano de Contas'!#REF!,8,FALSE)),"",VLOOKUP($A83,'Plano de Contas'!#REF!,8,FALSE))</f>
        <v/>
      </c>
      <c r="P83" s="6" t="str">
        <f>IF(ISERROR(VLOOKUP($A83,'Plano de Contas'!#REF!,10,FALSE)),"",VLOOKUP($A83,'Plano de Contas'!#REF!,10,FALSE))</f>
        <v/>
      </c>
      <c r="R83" s="6" t="e">
        <f>VLOOKUP(A83,'Plano de Contas'!#REF!,12,FALSE)</f>
        <v>#REF!</v>
      </c>
      <c r="T83" s="6" t="e">
        <f>VLOOKUP(A83,'Plano de Contas'!#REF!,13,FALSE)</f>
        <v>#REF!</v>
      </c>
    </row>
    <row r="84" spans="1:20" s="5" customFormat="1" x14ac:dyDescent="0.25">
      <c r="A84" t="s">
        <v>1154</v>
      </c>
      <c r="B84">
        <v>1080</v>
      </c>
      <c r="C84" t="s">
        <v>1155</v>
      </c>
      <c r="D84" s="10">
        <v>253182.35</v>
      </c>
      <c r="E84"/>
      <c r="F84" s="10">
        <v>7758.56</v>
      </c>
      <c r="G84"/>
      <c r="H84" s="10">
        <v>260940.91</v>
      </c>
      <c r="I84" t="s">
        <v>35</v>
      </c>
      <c r="J84" s="10">
        <v>0</v>
      </c>
      <c r="K84"/>
      <c r="L84" s="1">
        <f t="shared" si="1"/>
        <v>0</v>
      </c>
      <c r="N84" s="6" t="str">
        <f>IF(ISERROR(VLOOKUP($A84,'Plano de Contas'!#REF!,8,FALSE)),"",VLOOKUP($A84,'Plano de Contas'!#REF!,8,FALSE))</f>
        <v/>
      </c>
      <c r="P84" s="6" t="str">
        <f>IF(ISERROR(VLOOKUP($A84,'Plano de Contas'!#REF!,10,FALSE)),"",VLOOKUP($A84,'Plano de Contas'!#REF!,10,FALSE))</f>
        <v/>
      </c>
      <c r="R84" s="6" t="e">
        <f>VLOOKUP(A84,'Plano de Contas'!#REF!,12,FALSE)</f>
        <v>#REF!</v>
      </c>
      <c r="T84" s="6" t="e">
        <f>VLOOKUP(A84,'Plano de Contas'!#REF!,13,FALSE)</f>
        <v>#REF!</v>
      </c>
    </row>
    <row r="85" spans="1:20" s="5" customFormat="1" x14ac:dyDescent="0.25">
      <c r="A85"/>
      <c r="B85"/>
      <c r="C85"/>
      <c r="D85" s="10"/>
      <c r="E85"/>
      <c r="F85" s="10"/>
      <c r="G85"/>
      <c r="H85" s="10"/>
      <c r="I85"/>
      <c r="J85" s="10"/>
      <c r="K85"/>
      <c r="L85" s="1">
        <f t="shared" si="1"/>
        <v>0</v>
      </c>
      <c r="N85" s="6" t="str">
        <f>IF(ISERROR(VLOOKUP($A85,'Plano de Contas'!#REF!,8,FALSE)),"",VLOOKUP($A85,'Plano de Contas'!#REF!,8,FALSE))</f>
        <v/>
      </c>
      <c r="P85" s="6" t="str">
        <f>IF(ISERROR(VLOOKUP($A85,'Plano de Contas'!#REF!,10,FALSE)),"",VLOOKUP($A85,'Plano de Contas'!#REF!,10,FALSE))</f>
        <v/>
      </c>
      <c r="R85" s="6" t="e">
        <f>VLOOKUP(A85,'Plano de Contas'!#REF!,12,FALSE)</f>
        <v>#REF!</v>
      </c>
      <c r="T85" s="6" t="e">
        <f>VLOOKUP(A85,'Plano de Contas'!#REF!,13,FALSE)</f>
        <v>#REF!</v>
      </c>
    </row>
    <row r="86" spans="1:20" s="5" customFormat="1" x14ac:dyDescent="0.25">
      <c r="A86" t="s">
        <v>190</v>
      </c>
      <c r="B86">
        <v>44</v>
      </c>
      <c r="C86" t="s">
        <v>191</v>
      </c>
      <c r="D86" s="10">
        <v>4183000</v>
      </c>
      <c r="E86"/>
      <c r="F86" s="10">
        <v>0</v>
      </c>
      <c r="G86"/>
      <c r="H86" s="10">
        <v>0</v>
      </c>
      <c r="I86"/>
      <c r="J86" s="10">
        <v>4183000</v>
      </c>
      <c r="K86"/>
      <c r="L86" s="48">
        <f t="shared" si="1"/>
        <v>4183000</v>
      </c>
      <c r="N86" s="6" t="str">
        <f>IF(ISERROR(VLOOKUP($A86,'Plano de Contas'!#REF!,8,FALSE)),"",VLOOKUP($A86,'Plano de Contas'!#REF!,8,FALSE))</f>
        <v/>
      </c>
      <c r="P86" s="6" t="str">
        <f>IF(ISERROR(VLOOKUP($A86,'Plano de Contas'!#REF!,10,FALSE)),"",VLOOKUP($A86,'Plano de Contas'!#REF!,10,FALSE))</f>
        <v/>
      </c>
      <c r="R86" s="6" t="e">
        <f>VLOOKUP(A86,'Plano de Contas'!#REF!,12,FALSE)</f>
        <v>#REF!</v>
      </c>
      <c r="T86" s="6" t="e">
        <f>VLOOKUP(A86,'Plano de Contas'!#REF!,13,FALSE)</f>
        <v>#REF!</v>
      </c>
    </row>
    <row r="87" spans="1:20" s="5" customFormat="1" x14ac:dyDescent="0.25">
      <c r="A87" t="s">
        <v>192</v>
      </c>
      <c r="B87">
        <v>45</v>
      </c>
      <c r="C87" t="s">
        <v>193</v>
      </c>
      <c r="D87" s="10">
        <v>6546696.5800000001</v>
      </c>
      <c r="E87"/>
      <c r="F87">
        <v>0</v>
      </c>
      <c r="G87"/>
      <c r="H87" s="10">
        <v>0</v>
      </c>
      <c r="I87"/>
      <c r="J87" s="10">
        <v>6546696.5800000001</v>
      </c>
      <c r="K87"/>
      <c r="L87" s="48">
        <f t="shared" si="1"/>
        <v>6546696.5800000001</v>
      </c>
      <c r="N87" s="6" t="str">
        <f>IF(ISERROR(VLOOKUP($A87,'Plano de Contas'!#REF!,8,FALSE)),"",VLOOKUP($A87,'Plano de Contas'!#REF!,8,FALSE))</f>
        <v/>
      </c>
      <c r="P87" s="6" t="str">
        <f>IF(ISERROR(VLOOKUP($A87,'Plano de Contas'!#REF!,10,FALSE)),"",VLOOKUP($A87,'Plano de Contas'!#REF!,10,FALSE))</f>
        <v/>
      </c>
      <c r="R87" s="6" t="e">
        <f>VLOOKUP(A87,'Plano de Contas'!#REF!,12,FALSE)</f>
        <v>#REF!</v>
      </c>
      <c r="T87" s="6" t="e">
        <f>VLOOKUP(A87,'Plano de Contas'!#REF!,13,FALSE)</f>
        <v>#REF!</v>
      </c>
    </row>
    <row r="88" spans="1:20" s="5" customFormat="1" x14ac:dyDescent="0.25">
      <c r="A88" t="s">
        <v>194</v>
      </c>
      <c r="B88">
        <v>436</v>
      </c>
      <c r="C88" t="s">
        <v>195</v>
      </c>
      <c r="D88" s="10">
        <v>43239.24</v>
      </c>
      <c r="E88"/>
      <c r="F88">
        <v>0</v>
      </c>
      <c r="G88"/>
      <c r="H88" s="10">
        <v>0</v>
      </c>
      <c r="I88"/>
      <c r="J88" s="10">
        <v>43239.24</v>
      </c>
      <c r="K88"/>
      <c r="L88" s="1">
        <f t="shared" si="1"/>
        <v>43239.24</v>
      </c>
      <c r="N88" s="6" t="str">
        <f>IF(ISERROR(VLOOKUP($A88,'Plano de Contas'!#REF!,8,FALSE)),"",VLOOKUP($A88,'Plano de Contas'!#REF!,8,FALSE))</f>
        <v/>
      </c>
      <c r="P88" s="6" t="str">
        <f>IF(ISERROR(VLOOKUP($A88,'Plano de Contas'!#REF!,10,FALSE)),"",VLOOKUP($A88,'Plano de Contas'!#REF!,10,FALSE))</f>
        <v/>
      </c>
      <c r="R88" s="6" t="e">
        <f>VLOOKUP(A88,'Plano de Contas'!#REF!,12,FALSE)</f>
        <v>#REF!</v>
      </c>
      <c r="T88" s="6" t="e">
        <f>VLOOKUP(A88,'Plano de Contas'!#REF!,13,FALSE)</f>
        <v>#REF!</v>
      </c>
    </row>
    <row r="89" spans="1:20" s="5" customFormat="1" x14ac:dyDescent="0.25">
      <c r="A89" t="s">
        <v>1006</v>
      </c>
      <c r="B89">
        <v>1038</v>
      </c>
      <c r="C89" t="s">
        <v>1007</v>
      </c>
      <c r="D89" s="10">
        <v>-2406935.8199999998</v>
      </c>
      <c r="E89"/>
      <c r="F89">
        <v>0</v>
      </c>
      <c r="G89"/>
      <c r="H89" s="10">
        <v>0</v>
      </c>
      <c r="I89"/>
      <c r="J89" s="10">
        <v>-2406935.8199999998</v>
      </c>
      <c r="K89"/>
      <c r="L89" s="1">
        <f t="shared" si="1"/>
        <v>-2406935.8199999998</v>
      </c>
      <c r="N89" s="6" t="str">
        <f>IF(ISERROR(VLOOKUP($A89,'Plano de Contas'!#REF!,8,FALSE)),"",VLOOKUP($A89,'Plano de Contas'!#REF!,8,FALSE))</f>
        <v/>
      </c>
      <c r="P89" s="6" t="str">
        <f>IF(ISERROR(VLOOKUP($A89,'Plano de Contas'!#REF!,10,FALSE)),"",VLOOKUP($A89,'Plano de Contas'!#REF!,10,FALSE))</f>
        <v/>
      </c>
      <c r="R89" s="6" t="e">
        <f>VLOOKUP(A89,'Plano de Contas'!#REF!,12,FALSE)</f>
        <v>#REF!</v>
      </c>
      <c r="T89" s="6" t="e">
        <f>VLOOKUP(A89,'Plano de Contas'!#REF!,13,FALSE)</f>
        <v>#REF!</v>
      </c>
    </row>
    <row r="90" spans="1:20" s="5" customFormat="1" x14ac:dyDescent="0.25">
      <c r="A90"/>
      <c r="B90"/>
      <c r="C90"/>
      <c r="D90" s="10"/>
      <c r="E90"/>
      <c r="F90"/>
      <c r="G90"/>
      <c r="H90" s="10"/>
      <c r="I90"/>
      <c r="J90" s="10"/>
      <c r="K90"/>
      <c r="L90" s="49">
        <f t="shared" si="1"/>
        <v>0</v>
      </c>
      <c r="N90" s="6" t="str">
        <f>IF(ISERROR(VLOOKUP($A90,'Plano de Contas'!#REF!,8,FALSE)),"",VLOOKUP($A90,'Plano de Contas'!#REF!,8,FALSE))</f>
        <v/>
      </c>
      <c r="P90" s="6" t="str">
        <f>IF(ISERROR(VLOOKUP($A90,'Plano de Contas'!#REF!,10,FALSE)),"",VLOOKUP($A90,'Plano de Contas'!#REF!,10,FALSE))</f>
        <v/>
      </c>
      <c r="R90" s="6" t="e">
        <f>VLOOKUP(A90,'Plano de Contas'!#REF!,12,FALSE)</f>
        <v>#REF!</v>
      </c>
      <c r="T90" s="6" t="e">
        <f>VLOOKUP(A90,'Plano de Contas'!#REF!,13,FALSE)</f>
        <v>#REF!</v>
      </c>
    </row>
    <row r="91" spans="1:20" s="5" customFormat="1" x14ac:dyDescent="0.25">
      <c r="A91" t="s">
        <v>196</v>
      </c>
      <c r="B91">
        <v>46</v>
      </c>
      <c r="C91" t="s">
        <v>197</v>
      </c>
      <c r="D91" s="10">
        <v>1907024.61</v>
      </c>
      <c r="E91"/>
      <c r="F91">
        <v>0</v>
      </c>
      <c r="G91"/>
      <c r="H91">
        <v>0</v>
      </c>
      <c r="I91"/>
      <c r="J91" s="10">
        <v>1907024.61</v>
      </c>
      <c r="K91"/>
      <c r="L91" s="48">
        <f t="shared" si="1"/>
        <v>1907024.61</v>
      </c>
      <c r="N91" s="6" t="str">
        <f>IF(ISERROR(VLOOKUP($A91,'Plano de Contas'!#REF!,8,FALSE)),"",VLOOKUP($A91,'Plano de Contas'!#REF!,8,FALSE))</f>
        <v/>
      </c>
      <c r="P91" s="6" t="str">
        <f>IF(ISERROR(VLOOKUP($A91,'Plano de Contas'!#REF!,10,FALSE)),"",VLOOKUP($A91,'Plano de Contas'!#REF!,10,FALSE))</f>
        <v/>
      </c>
      <c r="R91" s="6" t="e">
        <f>VLOOKUP(A91,'Plano de Contas'!#REF!,12,FALSE)</f>
        <v>#REF!</v>
      </c>
      <c r="T91" s="6" t="e">
        <f>VLOOKUP(A91,'Plano de Contas'!#REF!,13,FALSE)</f>
        <v>#REF!</v>
      </c>
    </row>
    <row r="92" spans="1:20" s="5" customFormat="1" x14ac:dyDescent="0.25">
      <c r="A92" t="s">
        <v>200</v>
      </c>
      <c r="B92">
        <v>902</v>
      </c>
      <c r="C92" t="s">
        <v>1008</v>
      </c>
      <c r="D92" s="10">
        <v>1272449.3700000001</v>
      </c>
      <c r="E92"/>
      <c r="F92">
        <v>0</v>
      </c>
      <c r="G92"/>
      <c r="H92">
        <v>0</v>
      </c>
      <c r="I92"/>
      <c r="J92" s="120">
        <v>1272449.3700000001</v>
      </c>
      <c r="K92"/>
      <c r="L92" s="49">
        <f t="shared" si="1"/>
        <v>1272449.3700000001</v>
      </c>
      <c r="N92" s="6" t="str">
        <f>IF(ISERROR(VLOOKUP($A92,'Plano de Contas'!#REF!,8,FALSE)),"",VLOOKUP($A92,'Plano de Contas'!#REF!,8,FALSE))</f>
        <v/>
      </c>
      <c r="P92" s="6" t="str">
        <f>IF(ISERROR(VLOOKUP($A92,'Plano de Contas'!#REF!,10,FALSE)),"",VLOOKUP($A92,'Plano de Contas'!#REF!,10,FALSE))</f>
        <v/>
      </c>
      <c r="R92" s="6" t="e">
        <f>VLOOKUP(A92,'Plano de Contas'!#REF!,12,FALSE)</f>
        <v>#REF!</v>
      </c>
      <c r="T92" s="6" t="e">
        <f>VLOOKUP(A92,'Plano de Contas'!#REF!,13,FALSE)</f>
        <v>#REF!</v>
      </c>
    </row>
    <row r="93" spans="1:20" s="5" customFormat="1" x14ac:dyDescent="0.25">
      <c r="A93" t="s">
        <v>210</v>
      </c>
      <c r="B93">
        <v>901</v>
      </c>
      <c r="C93" t="s">
        <v>211</v>
      </c>
      <c r="D93" s="10">
        <v>267858.78000000003</v>
      </c>
      <c r="E93"/>
      <c r="F93">
        <v>0</v>
      </c>
      <c r="G93"/>
      <c r="H93">
        <v>0</v>
      </c>
      <c r="I93"/>
      <c r="J93" s="120">
        <v>267858.78000000003</v>
      </c>
      <c r="K93"/>
      <c r="L93" s="49">
        <f t="shared" si="1"/>
        <v>267858.78000000003</v>
      </c>
      <c r="N93" s="6" t="str">
        <f>IF(ISERROR(VLOOKUP($A93,'Plano de Contas'!#REF!,8,FALSE)),"",VLOOKUP($A93,'Plano de Contas'!#REF!,8,FALSE))</f>
        <v/>
      </c>
      <c r="P93" s="6" t="str">
        <f>IF(ISERROR(VLOOKUP($A93,'Plano de Contas'!#REF!,10,FALSE)),"",VLOOKUP($A93,'Plano de Contas'!#REF!,10,FALSE))</f>
        <v/>
      </c>
      <c r="R93" s="6" t="e">
        <f>VLOOKUP(A93,'Plano de Contas'!#REF!,12,FALSE)</f>
        <v>#REF!</v>
      </c>
      <c r="T93" s="6" t="e">
        <f>VLOOKUP(A93,'Plano de Contas'!#REF!,13,FALSE)</f>
        <v>#REF!</v>
      </c>
    </row>
    <row r="94" spans="1:20" s="5" customFormat="1" x14ac:dyDescent="0.25">
      <c r="A94" t="s">
        <v>1156</v>
      </c>
      <c r="B94">
        <v>968</v>
      </c>
      <c r="C94" t="s">
        <v>1157</v>
      </c>
      <c r="D94" s="10">
        <v>24430.65</v>
      </c>
      <c r="E94"/>
      <c r="F94">
        <v>0</v>
      </c>
      <c r="G94"/>
      <c r="H94" s="10">
        <v>0</v>
      </c>
      <c r="I94"/>
      <c r="J94" s="120">
        <v>24430.65</v>
      </c>
      <c r="K94"/>
      <c r="L94" s="49">
        <f t="shared" si="1"/>
        <v>24430.65</v>
      </c>
      <c r="N94" s="6" t="str">
        <f>IF(ISERROR(VLOOKUP($A94,'Plano de Contas'!#REF!,8,FALSE)),"",VLOOKUP($A94,'Plano de Contas'!#REF!,8,FALSE))</f>
        <v/>
      </c>
      <c r="P94" s="6" t="str">
        <f>IF(ISERROR(VLOOKUP($A94,'Plano de Contas'!#REF!,10,FALSE)),"",VLOOKUP($A94,'Plano de Contas'!#REF!,10,FALSE))</f>
        <v/>
      </c>
      <c r="R94" s="6" t="e">
        <f>VLOOKUP(A94,'Plano de Contas'!#REF!,12,FALSE)</f>
        <v>#REF!</v>
      </c>
      <c r="T94" s="6" t="e">
        <f>VLOOKUP(A94,'Plano de Contas'!#REF!,13,FALSE)</f>
        <v>#REF!</v>
      </c>
    </row>
    <row r="95" spans="1:20" s="5" customFormat="1" x14ac:dyDescent="0.25">
      <c r="A95" t="s">
        <v>1158</v>
      </c>
      <c r="B95">
        <v>1068</v>
      </c>
      <c r="C95" t="s">
        <v>1159</v>
      </c>
      <c r="D95" s="10">
        <v>342285.81</v>
      </c>
      <c r="E95"/>
      <c r="F95">
        <v>0</v>
      </c>
      <c r="G95"/>
      <c r="H95">
        <v>0</v>
      </c>
      <c r="I95"/>
      <c r="J95" s="120">
        <v>342285.81</v>
      </c>
      <c r="K95"/>
      <c r="L95" s="48">
        <f t="shared" si="1"/>
        <v>342285.81</v>
      </c>
      <c r="N95" s="6" t="str">
        <f>IF(ISERROR(VLOOKUP($A95,'Plano de Contas'!#REF!,8,FALSE)),"",VLOOKUP($A95,'Plano de Contas'!#REF!,8,FALSE))</f>
        <v/>
      </c>
      <c r="P95" s="6" t="str">
        <f>IF(ISERROR(VLOOKUP($A95,'Plano de Contas'!#REF!,10,FALSE)),"",VLOOKUP($A95,'Plano de Contas'!#REF!,10,FALSE))</f>
        <v/>
      </c>
      <c r="R95" s="6" t="e">
        <f>VLOOKUP(A95,'Plano de Contas'!#REF!,12,FALSE)</f>
        <v>#REF!</v>
      </c>
      <c r="T95" s="6" t="e">
        <f>VLOOKUP(A95,'Plano de Contas'!#REF!,13,FALSE)</f>
        <v>#REF!</v>
      </c>
    </row>
    <row r="96" spans="1:20" s="5" customFormat="1" x14ac:dyDescent="0.25">
      <c r="A96"/>
      <c r="B96"/>
      <c r="C96"/>
      <c r="D96" s="10"/>
      <c r="E96"/>
      <c r="F96" s="10"/>
      <c r="G96"/>
      <c r="H96" s="10"/>
      <c r="I96"/>
      <c r="J96" s="10"/>
      <c r="K96"/>
      <c r="L96" s="49">
        <f t="shared" si="1"/>
        <v>0</v>
      </c>
      <c r="N96" s="6" t="str">
        <f>IF(ISERROR(VLOOKUP($A96,'Plano de Contas'!#REF!,8,FALSE)),"",VLOOKUP($A96,'Plano de Contas'!#REF!,8,FALSE))</f>
        <v/>
      </c>
      <c r="P96" s="6" t="str">
        <f>IF(ISERROR(VLOOKUP($A96,'Plano de Contas'!#REF!,10,FALSE)),"",VLOOKUP($A96,'Plano de Contas'!#REF!,10,FALSE))</f>
        <v/>
      </c>
      <c r="R96" s="6" t="e">
        <f>VLOOKUP(A96,'Plano de Contas'!#REF!,12,FALSE)</f>
        <v>#REF!</v>
      </c>
      <c r="T96" s="6" t="e">
        <f>VLOOKUP(A96,'Plano de Contas'!#REF!,13,FALSE)</f>
        <v>#REF!</v>
      </c>
    </row>
    <row r="97" spans="1:20" s="5" customFormat="1" x14ac:dyDescent="0.25">
      <c r="A97" t="s">
        <v>216</v>
      </c>
      <c r="B97">
        <v>697</v>
      </c>
      <c r="C97" t="s">
        <v>217</v>
      </c>
      <c r="D97" s="10">
        <v>385266.58</v>
      </c>
      <c r="E97"/>
      <c r="F97" s="10">
        <v>108818.47</v>
      </c>
      <c r="G97"/>
      <c r="H97" s="10">
        <v>7715.22</v>
      </c>
      <c r="I97" t="s">
        <v>35</v>
      </c>
      <c r="J97" s="10">
        <v>486369.83</v>
      </c>
      <c r="K97"/>
      <c r="L97" s="1">
        <f t="shared" si="1"/>
        <v>486369.83</v>
      </c>
      <c r="N97" s="6" t="str">
        <f>IF(ISERROR(VLOOKUP($A97,'Plano de Contas'!#REF!,8,FALSE)),"",VLOOKUP($A97,'Plano de Contas'!#REF!,8,FALSE))</f>
        <v/>
      </c>
      <c r="P97" s="6" t="str">
        <f>IF(ISERROR(VLOOKUP($A97,'Plano de Contas'!#REF!,10,FALSE)),"",VLOOKUP($A97,'Plano de Contas'!#REF!,10,FALSE))</f>
        <v/>
      </c>
      <c r="R97" s="6" t="e">
        <f>VLOOKUP(A97,'Plano de Contas'!#REF!,12,FALSE)</f>
        <v>#REF!</v>
      </c>
      <c r="T97" s="6" t="e">
        <f>VLOOKUP(A97,'Plano de Contas'!#REF!,13,FALSE)</f>
        <v>#REF!</v>
      </c>
    </row>
    <row r="98" spans="1:20" s="5" customFormat="1" x14ac:dyDescent="0.25">
      <c r="A98" t="s">
        <v>218</v>
      </c>
      <c r="B98">
        <v>698</v>
      </c>
      <c r="C98" t="s">
        <v>219</v>
      </c>
      <c r="D98" s="10">
        <v>812.43</v>
      </c>
      <c r="E98"/>
      <c r="F98" s="10">
        <v>0</v>
      </c>
      <c r="G98"/>
      <c r="H98" s="10">
        <v>812.43</v>
      </c>
      <c r="I98" t="s">
        <v>35</v>
      </c>
      <c r="J98" s="10">
        <v>0</v>
      </c>
      <c r="K98"/>
      <c r="L98" s="62">
        <f t="shared" si="1"/>
        <v>0</v>
      </c>
      <c r="N98" s="6" t="str">
        <f>IF(ISERROR(VLOOKUP($A98,'Plano de Contas'!#REF!,8,FALSE)),"",VLOOKUP($A98,'Plano de Contas'!#REF!,8,FALSE))</f>
        <v/>
      </c>
      <c r="P98" s="6" t="str">
        <f>IF(ISERROR(VLOOKUP($A98,'Plano de Contas'!#REF!,10,FALSE)),"",VLOOKUP($A98,'Plano de Contas'!#REF!,10,FALSE))</f>
        <v/>
      </c>
      <c r="R98" s="6" t="e">
        <f>VLOOKUP(A98,'Plano de Contas'!#REF!,12,FALSE)</f>
        <v>#REF!</v>
      </c>
      <c r="T98" s="6" t="e">
        <f>VLOOKUP(A98,'Plano de Contas'!#REF!,13,FALSE)</f>
        <v>#REF!</v>
      </c>
    </row>
    <row r="99" spans="1:20" s="5" customFormat="1" x14ac:dyDescent="0.25">
      <c r="A99" t="s">
        <v>220</v>
      </c>
      <c r="B99">
        <v>781</v>
      </c>
      <c r="C99" t="s">
        <v>221</v>
      </c>
      <c r="D99" s="10">
        <v>362184.36</v>
      </c>
      <c r="E99"/>
      <c r="F99" s="10">
        <v>77362.720000000001</v>
      </c>
      <c r="G99"/>
      <c r="H99" s="10">
        <v>6902.79</v>
      </c>
      <c r="I99" t="s">
        <v>35</v>
      </c>
      <c r="J99" s="10">
        <v>432644.29</v>
      </c>
      <c r="K99"/>
      <c r="L99" s="62">
        <f t="shared" si="1"/>
        <v>432644.29</v>
      </c>
      <c r="N99" s="6" t="str">
        <f>IF(ISERROR(VLOOKUP($A99,'Plano de Contas'!#REF!,8,FALSE)),"",VLOOKUP($A99,'Plano de Contas'!#REF!,8,FALSE))</f>
        <v/>
      </c>
      <c r="P99" s="6" t="str">
        <f>IF(ISERROR(VLOOKUP($A99,'Plano de Contas'!#REF!,10,FALSE)),"",VLOOKUP($A99,'Plano de Contas'!#REF!,10,FALSE))</f>
        <v/>
      </c>
      <c r="R99" s="6" t="e">
        <f>VLOOKUP(A99,'Plano de Contas'!#REF!,12,FALSE)</f>
        <v>#REF!</v>
      </c>
      <c r="T99" s="6" t="e">
        <f>VLOOKUP(A99,'Plano de Contas'!#REF!,13,FALSE)</f>
        <v>#REF!</v>
      </c>
    </row>
    <row r="100" spans="1:20" s="5" customFormat="1" x14ac:dyDescent="0.25">
      <c r="A100" t="s">
        <v>222</v>
      </c>
      <c r="B100">
        <v>922</v>
      </c>
      <c r="C100" t="s">
        <v>223</v>
      </c>
      <c r="D100" s="10">
        <v>22269.79</v>
      </c>
      <c r="E100"/>
      <c r="F100" s="10">
        <v>31455.75</v>
      </c>
      <c r="G100"/>
      <c r="H100" s="10">
        <v>0</v>
      </c>
      <c r="I100"/>
      <c r="J100" s="10">
        <v>53725.54</v>
      </c>
      <c r="K100"/>
      <c r="L100" s="49">
        <f t="shared" si="1"/>
        <v>53725.54</v>
      </c>
      <c r="N100" s="6" t="str">
        <f>IF(ISERROR(VLOOKUP($A100,'Plano de Contas'!#REF!,8,FALSE)),"",VLOOKUP($A100,'Plano de Contas'!#REF!,8,FALSE))</f>
        <v/>
      </c>
      <c r="P100" s="6" t="str">
        <f>IF(ISERROR(VLOOKUP($A100,'Plano de Contas'!#REF!,10,FALSE)),"",VLOOKUP($A100,'Plano de Contas'!#REF!,10,FALSE))</f>
        <v/>
      </c>
      <c r="R100" s="6" t="e">
        <f>VLOOKUP(A100,'Plano de Contas'!#REF!,12,FALSE)</f>
        <v>#REF!</v>
      </c>
      <c r="T100" s="6" t="e">
        <f>VLOOKUP(A100,'Plano de Contas'!#REF!,13,FALSE)</f>
        <v>#REF!</v>
      </c>
    </row>
    <row r="101" spans="1:20" s="5" customFormat="1" x14ac:dyDescent="0.25">
      <c r="A101"/>
      <c r="B101"/>
      <c r="C101"/>
      <c r="D101" s="10"/>
      <c r="E101"/>
      <c r="F101" s="10"/>
      <c r="G101"/>
      <c r="H101" s="10"/>
      <c r="I101"/>
      <c r="J101" s="10"/>
      <c r="K101"/>
      <c r="L101" s="1">
        <f t="shared" si="1"/>
        <v>0</v>
      </c>
      <c r="N101" s="6" t="str">
        <f>IF(ISERROR(VLOOKUP($A101,'Plano de Contas'!#REF!,8,FALSE)),"",VLOOKUP($A101,'Plano de Contas'!#REF!,8,FALSE))</f>
        <v/>
      </c>
      <c r="P101" s="6" t="str">
        <f>IF(ISERROR(VLOOKUP($A101,'Plano de Contas'!#REF!,10,FALSE)),"",VLOOKUP($A101,'Plano de Contas'!#REF!,10,FALSE))</f>
        <v/>
      </c>
      <c r="R101" s="6" t="e">
        <f>VLOOKUP(A101,'Plano de Contas'!#REF!,12,FALSE)</f>
        <v>#REF!</v>
      </c>
      <c r="T101" s="6" t="e">
        <f>VLOOKUP(A101,'Plano de Contas'!#REF!,13,FALSE)</f>
        <v>#REF!</v>
      </c>
    </row>
    <row r="102" spans="1:20" s="5" customFormat="1" x14ac:dyDescent="0.25">
      <c r="A102" t="s">
        <v>230</v>
      </c>
      <c r="B102">
        <v>50</v>
      </c>
      <c r="C102" t="s">
        <v>231</v>
      </c>
      <c r="D102" s="10">
        <v>624635.68000000005</v>
      </c>
      <c r="E102"/>
      <c r="F102" s="10">
        <v>0</v>
      </c>
      <c r="G102"/>
      <c r="H102" s="10">
        <v>0</v>
      </c>
      <c r="I102"/>
      <c r="J102" s="10">
        <v>624635.68000000005</v>
      </c>
      <c r="K102"/>
      <c r="L102" s="1">
        <f t="shared" si="1"/>
        <v>624635.68000000005</v>
      </c>
      <c r="N102" s="6" t="str">
        <f>IF(ISERROR(VLOOKUP($A102,'Plano de Contas'!#REF!,8,FALSE)),"",VLOOKUP($A102,'Plano de Contas'!#REF!,8,FALSE))</f>
        <v/>
      </c>
      <c r="P102" s="6" t="str">
        <f>IF(ISERROR(VLOOKUP($A102,'Plano de Contas'!#REF!,10,FALSE)),"",VLOOKUP($A102,'Plano de Contas'!#REF!,10,FALSE))</f>
        <v/>
      </c>
      <c r="R102" s="6" t="e">
        <f>VLOOKUP(A102,'Plano de Contas'!#REF!,12,FALSE)</f>
        <v>#REF!</v>
      </c>
      <c r="T102" s="6" t="e">
        <f>VLOOKUP(A102,'Plano de Contas'!#REF!,13,FALSE)</f>
        <v>#REF!</v>
      </c>
    </row>
    <row r="103" spans="1:20" s="5" customFormat="1" x14ac:dyDescent="0.25">
      <c r="A103" t="s">
        <v>236</v>
      </c>
      <c r="B103">
        <v>539</v>
      </c>
      <c r="C103" t="s">
        <v>237</v>
      </c>
      <c r="D103" s="10">
        <v>329681.57</v>
      </c>
      <c r="E103"/>
      <c r="F103" s="10">
        <v>0</v>
      </c>
      <c r="G103"/>
      <c r="H103">
        <v>0</v>
      </c>
      <c r="I103"/>
      <c r="J103" s="10">
        <v>329681.57</v>
      </c>
      <c r="K103"/>
      <c r="L103" s="48">
        <f t="shared" si="1"/>
        <v>329681.57</v>
      </c>
      <c r="N103" s="6" t="str">
        <f>IF(ISERROR(VLOOKUP($A103,'Plano de Contas'!#REF!,8,FALSE)),"",VLOOKUP($A103,'Plano de Contas'!#REF!,8,FALSE))</f>
        <v/>
      </c>
      <c r="P103" s="6" t="str">
        <f>IF(ISERROR(VLOOKUP($A103,'Plano de Contas'!#REF!,10,FALSE)),"",VLOOKUP($A103,'Plano de Contas'!#REF!,10,FALSE))</f>
        <v/>
      </c>
      <c r="R103" s="6" t="e">
        <f>VLOOKUP(A103,'Plano de Contas'!#REF!,12,FALSE)</f>
        <v>#REF!</v>
      </c>
      <c r="T103" s="6" t="e">
        <f>VLOOKUP(A103,'Plano de Contas'!#REF!,13,FALSE)</f>
        <v>#REF!</v>
      </c>
    </row>
    <row r="104" spans="1:20" s="5" customFormat="1" x14ac:dyDescent="0.25">
      <c r="A104" t="s">
        <v>238</v>
      </c>
      <c r="B104">
        <v>541</v>
      </c>
      <c r="C104" t="s">
        <v>239</v>
      </c>
      <c r="D104" s="10">
        <v>36420.910000000003</v>
      </c>
      <c r="E104"/>
      <c r="F104">
        <v>0</v>
      </c>
      <c r="G104"/>
      <c r="H104" s="10">
        <v>0</v>
      </c>
      <c r="I104"/>
      <c r="J104" s="10">
        <v>36420.910000000003</v>
      </c>
      <c r="K104"/>
      <c r="L104" s="62">
        <f t="shared" si="1"/>
        <v>36420.910000000003</v>
      </c>
      <c r="N104" s="6" t="str">
        <f>IF(ISERROR(VLOOKUP($A104,'Plano de Contas'!#REF!,8,FALSE)),"",VLOOKUP($A104,'Plano de Contas'!#REF!,8,FALSE))</f>
        <v/>
      </c>
      <c r="P104" s="6" t="str">
        <f>IF(ISERROR(VLOOKUP($A104,'Plano de Contas'!#REF!,10,FALSE)),"",VLOOKUP($A104,'Plano de Contas'!#REF!,10,FALSE))</f>
        <v/>
      </c>
      <c r="R104" s="6" t="e">
        <f>VLOOKUP(A104,'Plano de Contas'!#REF!,12,FALSE)</f>
        <v>#REF!</v>
      </c>
      <c r="T104" s="6" t="e">
        <f>VLOOKUP(A104,'Plano de Contas'!#REF!,13,FALSE)</f>
        <v>#REF!</v>
      </c>
    </row>
    <row r="105" spans="1:20" s="5" customFormat="1" x14ac:dyDescent="0.25">
      <c r="A105" t="s">
        <v>240</v>
      </c>
      <c r="B105">
        <v>543</v>
      </c>
      <c r="C105" t="s">
        <v>241</v>
      </c>
      <c r="D105" s="10">
        <v>49441.29</v>
      </c>
      <c r="E105"/>
      <c r="F105">
        <v>0</v>
      </c>
      <c r="G105"/>
      <c r="H105">
        <v>0</v>
      </c>
      <c r="I105"/>
      <c r="J105" s="10">
        <v>49441.29</v>
      </c>
      <c r="K105"/>
      <c r="L105" s="1">
        <f t="shared" si="1"/>
        <v>49441.29</v>
      </c>
      <c r="N105" s="6" t="str">
        <f>IF(ISERROR(VLOOKUP($A105,'Plano de Contas'!#REF!,8,FALSE)),"",VLOOKUP($A105,'Plano de Contas'!#REF!,8,FALSE))</f>
        <v/>
      </c>
      <c r="P105" s="6" t="str">
        <f>IF(ISERROR(VLOOKUP($A105,'Plano de Contas'!#REF!,10,FALSE)),"",VLOOKUP($A105,'Plano de Contas'!#REF!,10,FALSE))</f>
        <v/>
      </c>
      <c r="R105" s="6" t="e">
        <f>VLOOKUP(A105,'Plano de Contas'!#REF!,12,FALSE)</f>
        <v>#REF!</v>
      </c>
      <c r="T105" s="6" t="e">
        <f>VLOOKUP(A105,'Plano de Contas'!#REF!,13,FALSE)</f>
        <v>#REF!</v>
      </c>
    </row>
    <row r="106" spans="1:20" s="5" customFormat="1" x14ac:dyDescent="0.25">
      <c r="A106" t="s">
        <v>242</v>
      </c>
      <c r="B106">
        <v>559</v>
      </c>
      <c r="C106" t="s">
        <v>243</v>
      </c>
      <c r="D106" s="10">
        <v>209091.91</v>
      </c>
      <c r="E106"/>
      <c r="F106" s="10">
        <v>0</v>
      </c>
      <c r="G106"/>
      <c r="H106" s="10">
        <v>0</v>
      </c>
      <c r="I106"/>
      <c r="J106" s="10">
        <v>209091.91</v>
      </c>
      <c r="K106"/>
      <c r="L106" s="1">
        <f t="shared" si="1"/>
        <v>209091.91</v>
      </c>
      <c r="N106" s="6" t="str">
        <f>IF(ISERROR(VLOOKUP($A106,'Plano de Contas'!#REF!,8,FALSE)),"",VLOOKUP($A106,'Plano de Contas'!#REF!,8,FALSE))</f>
        <v/>
      </c>
      <c r="P106" s="6" t="str">
        <f>IF(ISERROR(VLOOKUP($A106,'Plano de Contas'!#REF!,10,FALSE)),"",VLOOKUP($A106,'Plano de Contas'!#REF!,10,FALSE))</f>
        <v/>
      </c>
      <c r="R106" s="6" t="e">
        <f>VLOOKUP(A106,'Plano de Contas'!#REF!,12,FALSE)</f>
        <v>#REF!</v>
      </c>
      <c r="T106" s="6" t="e">
        <f>VLOOKUP(A106,'Plano de Contas'!#REF!,13,FALSE)</f>
        <v>#REF!</v>
      </c>
    </row>
    <row r="107" spans="1:20" s="5" customFormat="1" x14ac:dyDescent="0.25">
      <c r="A107"/>
      <c r="B107"/>
      <c r="C107"/>
      <c r="D107" s="10"/>
      <c r="E107"/>
      <c r="F107" s="10"/>
      <c r="G107"/>
      <c r="H107" s="10"/>
      <c r="I107"/>
      <c r="J107" s="10"/>
      <c r="K107"/>
      <c r="L107" s="48">
        <f t="shared" si="1"/>
        <v>0</v>
      </c>
      <c r="N107" s="6" t="str">
        <f>IF(ISERROR(VLOOKUP($A107,'Plano de Contas'!#REF!,8,FALSE)),"",VLOOKUP($A107,'Plano de Contas'!#REF!,8,FALSE))</f>
        <v/>
      </c>
      <c r="P107" s="6" t="str">
        <f>IF(ISERROR(VLOOKUP($A107,'Plano de Contas'!#REF!,10,FALSE)),"",VLOOKUP($A107,'Plano de Contas'!#REF!,10,FALSE))</f>
        <v/>
      </c>
      <c r="R107" s="6" t="e">
        <f>VLOOKUP(A107,'Plano de Contas'!#REF!,12,FALSE)</f>
        <v>#REF!</v>
      </c>
      <c r="T107" s="6" t="e">
        <f>VLOOKUP(A107,'Plano de Contas'!#REF!,13,FALSE)</f>
        <v>#REF!</v>
      </c>
    </row>
    <row r="108" spans="1:20" s="5" customFormat="1" x14ac:dyDescent="0.25">
      <c r="A108" t="s">
        <v>244</v>
      </c>
      <c r="B108">
        <v>51</v>
      </c>
      <c r="C108" t="s">
        <v>245</v>
      </c>
      <c r="D108" s="10">
        <v>804248.62</v>
      </c>
      <c r="E108"/>
      <c r="F108" s="10">
        <v>9806.75</v>
      </c>
      <c r="G108"/>
      <c r="H108" s="10">
        <v>803461.63</v>
      </c>
      <c r="I108" t="s">
        <v>35</v>
      </c>
      <c r="J108" s="10">
        <v>10593.74</v>
      </c>
      <c r="K108"/>
      <c r="L108" s="48">
        <f t="shared" si="1"/>
        <v>10593.74</v>
      </c>
      <c r="N108" s="6" t="str">
        <f>IF(ISERROR(VLOOKUP($A108,'Plano de Contas'!#REF!,8,FALSE)),"",VLOOKUP($A108,'Plano de Contas'!#REF!,8,FALSE))</f>
        <v/>
      </c>
      <c r="P108" s="6" t="str">
        <f>IF(ISERROR(VLOOKUP($A108,'Plano de Contas'!#REF!,10,FALSE)),"",VLOOKUP($A108,'Plano de Contas'!#REF!,10,FALSE))</f>
        <v/>
      </c>
      <c r="R108" s="6" t="e">
        <f>VLOOKUP(A108,'Plano de Contas'!#REF!,12,FALSE)</f>
        <v>#REF!</v>
      </c>
      <c r="T108" s="6" t="e">
        <f>VLOOKUP(A108,'Plano de Contas'!#REF!,13,FALSE)</f>
        <v>#REF!</v>
      </c>
    </row>
    <row r="109" spans="1:20" s="5" customFormat="1" x14ac:dyDescent="0.25">
      <c r="A109"/>
      <c r="B109"/>
      <c r="C109"/>
      <c r="D109" s="10"/>
      <c r="E109"/>
      <c r="F109" s="10"/>
      <c r="G109"/>
      <c r="H109" s="10"/>
      <c r="I109"/>
      <c r="J109" s="10"/>
      <c r="K109"/>
      <c r="L109" s="48">
        <f t="shared" si="1"/>
        <v>0</v>
      </c>
      <c r="N109" s="6" t="str">
        <f>IF(ISERROR(VLOOKUP($A109,'Plano de Contas'!#REF!,8,FALSE)),"",VLOOKUP($A109,'Plano de Contas'!#REF!,8,FALSE))</f>
        <v/>
      </c>
      <c r="P109" s="6" t="str">
        <f>IF(ISERROR(VLOOKUP($A109,'Plano de Contas'!#REF!,10,FALSE)),"",VLOOKUP($A109,'Plano de Contas'!#REF!,10,FALSE))</f>
        <v/>
      </c>
      <c r="R109" s="6" t="e">
        <f>VLOOKUP(A109,'Plano de Contas'!#REF!,12,FALSE)</f>
        <v>#REF!</v>
      </c>
      <c r="T109" s="6" t="e">
        <f>VLOOKUP(A109,'Plano de Contas'!#REF!,13,FALSE)</f>
        <v>#REF!</v>
      </c>
    </row>
    <row r="110" spans="1:20" s="5" customFormat="1" x14ac:dyDescent="0.25">
      <c r="A110" t="s">
        <v>246</v>
      </c>
      <c r="B110">
        <v>53</v>
      </c>
      <c r="C110" t="s">
        <v>247</v>
      </c>
      <c r="D110" s="10">
        <v>804248.62</v>
      </c>
      <c r="E110"/>
      <c r="F110" s="10">
        <v>9806.75</v>
      </c>
      <c r="G110"/>
      <c r="H110" s="10">
        <v>803461.63</v>
      </c>
      <c r="I110" t="s">
        <v>35</v>
      </c>
      <c r="J110" s="10">
        <v>10593.74</v>
      </c>
      <c r="K110"/>
      <c r="L110" s="48">
        <f t="shared" si="1"/>
        <v>10593.74</v>
      </c>
      <c r="N110" s="6" t="str">
        <f>IF(ISERROR(VLOOKUP($A110,'Plano de Contas'!#REF!,8,FALSE)),"",VLOOKUP($A110,'Plano de Contas'!#REF!,8,FALSE))</f>
        <v/>
      </c>
      <c r="P110" s="6" t="str">
        <f>IF(ISERROR(VLOOKUP($A110,'Plano de Contas'!#REF!,10,FALSE)),"",VLOOKUP($A110,'Plano de Contas'!#REF!,10,FALSE))</f>
        <v/>
      </c>
      <c r="R110" s="6" t="e">
        <f>VLOOKUP(A110,'Plano de Contas'!#REF!,12,FALSE)</f>
        <v>#REF!</v>
      </c>
      <c r="T110" s="6" t="e">
        <f>VLOOKUP(A110,'Plano de Contas'!#REF!,13,FALSE)</f>
        <v>#REF!</v>
      </c>
    </row>
    <row r="111" spans="1:20" s="5" customFormat="1" x14ac:dyDescent="0.25">
      <c r="A111" t="s">
        <v>248</v>
      </c>
      <c r="B111">
        <v>319</v>
      </c>
      <c r="C111" t="s">
        <v>249</v>
      </c>
      <c r="D111" s="10">
        <v>804248.62</v>
      </c>
      <c r="E111"/>
      <c r="F111" s="10">
        <v>9806.75</v>
      </c>
      <c r="G111"/>
      <c r="H111" s="10">
        <v>803461.63</v>
      </c>
      <c r="I111" t="s">
        <v>35</v>
      </c>
      <c r="J111" s="10">
        <v>10593.74</v>
      </c>
      <c r="K111"/>
      <c r="L111" s="48">
        <f t="shared" si="1"/>
        <v>10593.74</v>
      </c>
      <c r="N111" s="6" t="str">
        <f>IF(ISERROR(VLOOKUP($A111,'Plano de Contas'!#REF!,8,FALSE)),"",VLOOKUP($A111,'Plano de Contas'!#REF!,8,FALSE))</f>
        <v/>
      </c>
      <c r="P111" s="6" t="str">
        <f>IF(ISERROR(VLOOKUP($A111,'Plano de Contas'!#REF!,10,FALSE)),"",VLOOKUP($A111,'Plano de Contas'!#REF!,10,FALSE))</f>
        <v/>
      </c>
      <c r="R111" s="6" t="e">
        <f>VLOOKUP(A111,'Plano de Contas'!#REF!,12,FALSE)</f>
        <v>#REF!</v>
      </c>
      <c r="T111" s="6" t="e">
        <f>VLOOKUP(A111,'Plano de Contas'!#REF!,13,FALSE)</f>
        <v>#REF!</v>
      </c>
    </row>
    <row r="112" spans="1:20" s="5" customFormat="1" x14ac:dyDescent="0.25">
      <c r="A112"/>
      <c r="B112"/>
      <c r="C112"/>
      <c r="D112" s="10"/>
      <c r="E112"/>
      <c r="F112" s="10"/>
      <c r="G112"/>
      <c r="H112" s="10"/>
      <c r="I112"/>
      <c r="J112" s="10"/>
      <c r="K112"/>
      <c r="L112" s="48">
        <f t="shared" si="1"/>
        <v>0</v>
      </c>
      <c r="N112" s="6" t="str">
        <f>IF(ISERROR(VLOOKUP($A112,'Plano de Contas'!#REF!,8,FALSE)),"",VLOOKUP($A112,'Plano de Contas'!#REF!,8,FALSE))</f>
        <v/>
      </c>
      <c r="P112" s="6" t="str">
        <f>IF(ISERROR(VLOOKUP($A112,'Plano de Contas'!#REF!,10,FALSE)),"",VLOOKUP($A112,'Plano de Contas'!#REF!,10,FALSE))</f>
        <v/>
      </c>
      <c r="R112" s="6" t="e">
        <f>VLOOKUP(A112,'Plano de Contas'!#REF!,12,FALSE)</f>
        <v>#REF!</v>
      </c>
      <c r="T112" s="6" t="e">
        <f>VLOOKUP(A112,'Plano de Contas'!#REF!,13,FALSE)</f>
        <v>#REF!</v>
      </c>
    </row>
    <row r="113" spans="1:20" s="5" customFormat="1" x14ac:dyDescent="0.25">
      <c r="A113" t="s">
        <v>250</v>
      </c>
      <c r="B113">
        <v>71</v>
      </c>
      <c r="C113" t="s">
        <v>251</v>
      </c>
      <c r="D113" s="10">
        <v>5164669246.6800003</v>
      </c>
      <c r="E113"/>
      <c r="F113" s="10">
        <v>66360816.560000002</v>
      </c>
      <c r="G113"/>
      <c r="H113" s="10">
        <v>66343020.229999997</v>
      </c>
      <c r="I113" t="s">
        <v>35</v>
      </c>
      <c r="J113" s="10">
        <v>5164687043.0100002</v>
      </c>
      <c r="K113"/>
      <c r="L113" s="48">
        <f t="shared" si="1"/>
        <v>5164687043.0100002</v>
      </c>
      <c r="N113" s="6" t="str">
        <f>IF(ISERROR(VLOOKUP($A113,'Plano de Contas'!#REF!,8,FALSE)),"",VLOOKUP($A113,'Plano de Contas'!#REF!,8,FALSE))</f>
        <v/>
      </c>
      <c r="P113" s="6" t="str">
        <f>IF(ISERROR(VLOOKUP($A113,'Plano de Contas'!#REF!,10,FALSE)),"",VLOOKUP($A113,'Plano de Contas'!#REF!,10,FALSE))</f>
        <v/>
      </c>
      <c r="R113" s="6" t="e">
        <f>VLOOKUP(A113,'Plano de Contas'!#REF!,12,FALSE)</f>
        <v>#REF!</v>
      </c>
      <c r="T113" s="6" t="e">
        <f>VLOOKUP(A113,'Plano de Contas'!#REF!,13,FALSE)</f>
        <v>#REF!</v>
      </c>
    </row>
    <row r="114" spans="1:20" s="5" customFormat="1" x14ac:dyDescent="0.25">
      <c r="A114"/>
      <c r="B114"/>
      <c r="C114"/>
      <c r="D114" s="10"/>
      <c r="E114"/>
      <c r="F114" s="10"/>
      <c r="G114"/>
      <c r="H114" s="10"/>
      <c r="I114"/>
      <c r="J114" s="10"/>
      <c r="K114"/>
      <c r="L114" s="1">
        <f t="shared" si="1"/>
        <v>0</v>
      </c>
      <c r="N114" s="6" t="str">
        <f>IF(ISERROR(VLOOKUP($A114,'Plano de Contas'!#REF!,8,FALSE)),"",VLOOKUP($A114,'Plano de Contas'!#REF!,8,FALSE))</f>
        <v/>
      </c>
      <c r="P114" s="6" t="str">
        <f>IF(ISERROR(VLOOKUP($A114,'Plano de Contas'!#REF!,10,FALSE)),"",VLOOKUP($A114,'Plano de Contas'!#REF!,10,FALSE))</f>
        <v/>
      </c>
      <c r="R114" s="6" t="e">
        <f>VLOOKUP(A114,'Plano de Contas'!#REF!,12,FALSE)</f>
        <v>#REF!</v>
      </c>
      <c r="T114" s="6" t="e">
        <f>VLOOKUP(A114,'Plano de Contas'!#REF!,13,FALSE)</f>
        <v>#REF!</v>
      </c>
    </row>
    <row r="115" spans="1:20" s="5" customFormat="1" x14ac:dyDescent="0.25">
      <c r="A115" t="s">
        <v>252</v>
      </c>
      <c r="B115">
        <v>837</v>
      </c>
      <c r="C115" t="s">
        <v>253</v>
      </c>
      <c r="D115" s="10">
        <v>69421912.189999998</v>
      </c>
      <c r="E115"/>
      <c r="F115" s="10">
        <v>100732.07</v>
      </c>
      <c r="G115"/>
      <c r="H115" s="10">
        <v>5701555.29</v>
      </c>
      <c r="I115" t="s">
        <v>35</v>
      </c>
      <c r="J115" s="10">
        <v>63821088.969999999</v>
      </c>
      <c r="K115"/>
      <c r="L115" s="1">
        <f t="shared" si="1"/>
        <v>63821088.969999999</v>
      </c>
      <c r="N115" s="6" t="str">
        <f>IF(ISERROR(VLOOKUP($A115,'Plano de Contas'!#REF!,8,FALSE)),"",VLOOKUP($A115,'Plano de Contas'!#REF!,8,FALSE))</f>
        <v/>
      </c>
      <c r="P115" s="6" t="str">
        <f>IF(ISERROR(VLOOKUP($A115,'Plano de Contas'!#REF!,10,FALSE)),"",VLOOKUP($A115,'Plano de Contas'!#REF!,10,FALSE))</f>
        <v/>
      </c>
      <c r="R115" s="6" t="e">
        <f>VLOOKUP(A115,'Plano de Contas'!#REF!,12,FALSE)</f>
        <v>#REF!</v>
      </c>
      <c r="T115" s="6" t="e">
        <f>VLOOKUP(A115,'Plano de Contas'!#REF!,13,FALSE)</f>
        <v>#REF!</v>
      </c>
    </row>
    <row r="116" spans="1:20" s="5" customFormat="1" x14ac:dyDescent="0.25">
      <c r="A116"/>
      <c r="B116"/>
      <c r="C116"/>
      <c r="D116" s="10"/>
      <c r="E116"/>
      <c r="F116" s="10"/>
      <c r="G116"/>
      <c r="H116" s="10"/>
      <c r="I116"/>
      <c r="J116" s="10"/>
      <c r="K116"/>
      <c r="L116" s="1">
        <f t="shared" si="1"/>
        <v>0</v>
      </c>
      <c r="N116" s="6" t="str">
        <f>IF(ISERROR(VLOOKUP($A116,'Plano de Contas'!#REF!,8,FALSE)),"",VLOOKUP($A116,'Plano de Contas'!#REF!,8,FALSE))</f>
        <v/>
      </c>
      <c r="P116" s="6" t="str">
        <f>IF(ISERROR(VLOOKUP($A116,'Plano de Contas'!#REF!,10,FALSE)),"",VLOOKUP($A116,'Plano de Contas'!#REF!,10,FALSE))</f>
        <v/>
      </c>
      <c r="R116" s="6" t="e">
        <f>VLOOKUP(A116,'Plano de Contas'!#REF!,12,FALSE)</f>
        <v>#REF!</v>
      </c>
      <c r="T116" s="6" t="e">
        <f>VLOOKUP(A116,'Plano de Contas'!#REF!,13,FALSE)</f>
        <v>#REF!</v>
      </c>
    </row>
    <row r="117" spans="1:20" s="5" customFormat="1" x14ac:dyDescent="0.25">
      <c r="A117" t="s">
        <v>1160</v>
      </c>
      <c r="B117">
        <v>1082</v>
      </c>
      <c r="C117" t="s">
        <v>592</v>
      </c>
      <c r="D117" s="10">
        <v>2035274.42</v>
      </c>
      <c r="E117"/>
      <c r="F117" s="10">
        <v>7440.73</v>
      </c>
      <c r="G117"/>
      <c r="H117" s="10">
        <v>89948.3</v>
      </c>
      <c r="I117" t="s">
        <v>35</v>
      </c>
      <c r="J117" s="10">
        <v>1952766.85</v>
      </c>
      <c r="K117"/>
      <c r="L117" s="48">
        <f t="shared" si="1"/>
        <v>1952766.85</v>
      </c>
      <c r="N117" s="6" t="str">
        <f>IF(ISERROR(VLOOKUP($A117,'Plano de Contas'!#REF!,8,FALSE)),"",VLOOKUP($A117,'Plano de Contas'!#REF!,8,FALSE))</f>
        <v/>
      </c>
      <c r="P117" s="6" t="str">
        <f>IF(ISERROR(VLOOKUP($A117,'Plano de Contas'!#REF!,10,FALSE)),"",VLOOKUP($A117,'Plano de Contas'!#REF!,10,FALSE))</f>
        <v/>
      </c>
      <c r="R117" s="6" t="e">
        <f>VLOOKUP(A117,'Plano de Contas'!#REF!,12,FALSE)</f>
        <v>#REF!</v>
      </c>
      <c r="T117" s="6" t="e">
        <f>VLOOKUP(A117,'Plano de Contas'!#REF!,13,FALSE)</f>
        <v>#REF!</v>
      </c>
    </row>
    <row r="118" spans="1:20" s="5" customFormat="1" x14ac:dyDescent="0.25">
      <c r="A118" t="s">
        <v>1161</v>
      </c>
      <c r="B118">
        <v>1083</v>
      </c>
      <c r="C118" t="s">
        <v>592</v>
      </c>
      <c r="D118" s="10">
        <v>2035274.42</v>
      </c>
      <c r="E118"/>
      <c r="F118" s="10">
        <v>7440.73</v>
      </c>
      <c r="G118"/>
      <c r="H118" s="10">
        <v>89948.3</v>
      </c>
      <c r="I118" t="s">
        <v>35</v>
      </c>
      <c r="J118" s="10">
        <v>1952766.85</v>
      </c>
      <c r="K118"/>
      <c r="L118" s="48">
        <f t="shared" si="1"/>
        <v>1952766.85</v>
      </c>
      <c r="N118" s="6" t="str">
        <f>IF(ISERROR(VLOOKUP($A118,'Plano de Contas'!#REF!,8,FALSE)),"",VLOOKUP($A118,'Plano de Contas'!#REF!,8,FALSE))</f>
        <v/>
      </c>
      <c r="P118" s="6" t="str">
        <f>IF(ISERROR(VLOOKUP($A118,'Plano de Contas'!#REF!,10,FALSE)),"",VLOOKUP($A118,'Plano de Contas'!#REF!,10,FALSE))</f>
        <v/>
      </c>
      <c r="R118" s="6" t="e">
        <f>VLOOKUP(A118,'Plano de Contas'!#REF!,12,FALSE)</f>
        <v>#REF!</v>
      </c>
      <c r="T118" s="6" t="e">
        <f>VLOOKUP(A118,'Plano de Contas'!#REF!,13,FALSE)</f>
        <v>#REF!</v>
      </c>
    </row>
    <row r="119" spans="1:20" s="5" customFormat="1" x14ac:dyDescent="0.25">
      <c r="A119"/>
      <c r="B119"/>
      <c r="C119"/>
      <c r="D119" s="10"/>
      <c r="E119"/>
      <c r="F119" s="10"/>
      <c r="G119"/>
      <c r="H119" s="10"/>
      <c r="I119"/>
      <c r="J119" s="10"/>
      <c r="K119"/>
      <c r="L119" s="1">
        <f t="shared" si="1"/>
        <v>0</v>
      </c>
      <c r="N119" s="6" t="str">
        <f>IF(ISERROR(VLOOKUP($A119,'Plano de Contas'!#REF!,8,FALSE)),"",VLOOKUP($A119,'Plano de Contas'!#REF!,8,FALSE))</f>
        <v/>
      </c>
      <c r="P119" s="6" t="str">
        <f>IF(ISERROR(VLOOKUP($A119,'Plano de Contas'!#REF!,10,FALSE)),"",VLOOKUP($A119,'Plano de Contas'!#REF!,10,FALSE))</f>
        <v/>
      </c>
      <c r="R119" s="6" t="e">
        <f>VLOOKUP(A119,'Plano de Contas'!#REF!,12,FALSE)</f>
        <v>#REF!</v>
      </c>
      <c r="T119" s="6" t="e">
        <f>VLOOKUP(A119,'Plano de Contas'!#REF!,13,FALSE)</f>
        <v>#REF!</v>
      </c>
    </row>
    <row r="120" spans="1:20" s="5" customFormat="1" x14ac:dyDescent="0.25">
      <c r="A120" t="s">
        <v>1162</v>
      </c>
      <c r="B120">
        <v>1084</v>
      </c>
      <c r="C120" t="s">
        <v>1163</v>
      </c>
      <c r="D120" s="10">
        <v>44307600.189999998</v>
      </c>
      <c r="E120"/>
      <c r="F120" s="10">
        <v>9148.6200000000008</v>
      </c>
      <c r="G120"/>
      <c r="H120">
        <v>0</v>
      </c>
      <c r="I120"/>
      <c r="J120" s="10">
        <v>44316748.810000002</v>
      </c>
      <c r="K120"/>
      <c r="L120" s="1">
        <f t="shared" si="1"/>
        <v>44316748.810000002</v>
      </c>
      <c r="N120" s="6" t="str">
        <f>IF(ISERROR(VLOOKUP($A120,'Plano de Contas'!#REF!,8,FALSE)),"",VLOOKUP($A120,'Plano de Contas'!#REF!,8,FALSE))</f>
        <v/>
      </c>
      <c r="P120" s="6" t="str">
        <f>IF(ISERROR(VLOOKUP($A120,'Plano de Contas'!#REF!,10,FALSE)),"",VLOOKUP($A120,'Plano de Contas'!#REF!,10,FALSE))</f>
        <v/>
      </c>
      <c r="R120" s="6" t="e">
        <f>VLOOKUP(A120,'Plano de Contas'!#REF!,12,FALSE)</f>
        <v>#REF!</v>
      </c>
      <c r="T120" s="6" t="e">
        <f>VLOOKUP(A120,'Plano de Contas'!#REF!,13,FALSE)</f>
        <v>#REF!</v>
      </c>
    </row>
    <row r="121" spans="1:20" s="5" customFormat="1" x14ac:dyDescent="0.25">
      <c r="A121" t="s">
        <v>1164</v>
      </c>
      <c r="B121">
        <v>1085</v>
      </c>
      <c r="C121" t="s">
        <v>1165</v>
      </c>
      <c r="D121" s="10">
        <v>44307600.189999998</v>
      </c>
      <c r="E121"/>
      <c r="F121" s="10">
        <v>9148.6200000000008</v>
      </c>
      <c r="G121"/>
      <c r="H121" s="10">
        <v>0</v>
      </c>
      <c r="I121"/>
      <c r="J121" s="10">
        <v>44316748.810000002</v>
      </c>
      <c r="K121"/>
      <c r="L121" s="1">
        <f t="shared" si="1"/>
        <v>44316748.810000002</v>
      </c>
      <c r="N121" s="6" t="str">
        <f>IF(ISERROR(VLOOKUP($A121,'Plano de Contas'!#REF!,8,FALSE)),"",VLOOKUP($A121,'Plano de Contas'!#REF!,8,FALSE))</f>
        <v/>
      </c>
      <c r="P121" s="6" t="str">
        <f>IF(ISERROR(VLOOKUP($A121,'Plano de Contas'!#REF!,10,FALSE)),"",VLOOKUP($A121,'Plano de Contas'!#REF!,10,FALSE))</f>
        <v/>
      </c>
      <c r="R121" s="6" t="e">
        <f>VLOOKUP(A121,'Plano de Contas'!#REF!,12,FALSE)</f>
        <v>#REF!</v>
      </c>
      <c r="T121" s="6" t="e">
        <f>VLOOKUP(A121,'Plano de Contas'!#REF!,13,FALSE)</f>
        <v>#REF!</v>
      </c>
    </row>
    <row r="122" spans="1:20" s="5" customFormat="1" x14ac:dyDescent="0.25">
      <c r="A122"/>
      <c r="B122"/>
      <c r="C122"/>
      <c r="D122" s="10"/>
      <c r="E122"/>
      <c r="F122" s="10"/>
      <c r="G122"/>
      <c r="H122" s="10"/>
      <c r="I122"/>
      <c r="J122" s="10"/>
      <c r="K122"/>
      <c r="L122" s="1">
        <f t="shared" si="1"/>
        <v>0</v>
      </c>
      <c r="N122" s="6" t="str">
        <f>IF(ISERROR(VLOOKUP($A122,'Plano de Contas'!#REF!,8,FALSE)),"",VLOOKUP($A122,'Plano de Contas'!#REF!,8,FALSE))</f>
        <v/>
      </c>
      <c r="P122" s="6" t="str">
        <f>IF(ISERROR(VLOOKUP($A122,'Plano de Contas'!#REF!,10,FALSE)),"",VLOOKUP($A122,'Plano de Contas'!#REF!,10,FALSE))</f>
        <v/>
      </c>
      <c r="R122" s="6" t="e">
        <f>VLOOKUP(A122,'Plano de Contas'!#REF!,12,FALSE)</f>
        <v>#REF!</v>
      </c>
      <c r="T122" s="6" t="e">
        <f>VLOOKUP(A122,'Plano de Contas'!#REF!,13,FALSE)</f>
        <v>#REF!</v>
      </c>
    </row>
    <row r="123" spans="1:20" s="5" customFormat="1" x14ac:dyDescent="0.25">
      <c r="A123" t="s">
        <v>254</v>
      </c>
      <c r="B123">
        <v>851</v>
      </c>
      <c r="C123" t="s">
        <v>255</v>
      </c>
      <c r="D123" s="10">
        <v>17544061.140000001</v>
      </c>
      <c r="E123"/>
      <c r="F123" s="10">
        <v>385.97</v>
      </c>
      <c r="G123"/>
      <c r="H123" s="10">
        <v>2307.3000000000002</v>
      </c>
      <c r="I123" t="s">
        <v>35</v>
      </c>
      <c r="J123" s="10">
        <v>17542139.809999999</v>
      </c>
      <c r="K123"/>
      <c r="L123" s="1">
        <f t="shared" si="1"/>
        <v>17542139.809999999</v>
      </c>
      <c r="N123" s="6" t="str">
        <f>IF(ISERROR(VLOOKUP($A123,'Plano de Contas'!#REF!,8,FALSE)),"",VLOOKUP($A123,'Plano de Contas'!#REF!,8,FALSE))</f>
        <v/>
      </c>
      <c r="P123" s="6" t="str">
        <f>IF(ISERROR(VLOOKUP($A123,'Plano de Contas'!#REF!,10,FALSE)),"",VLOOKUP($A123,'Plano de Contas'!#REF!,10,FALSE))</f>
        <v/>
      </c>
      <c r="R123" s="6" t="e">
        <f>VLOOKUP(A123,'Plano de Contas'!#REF!,12,FALSE)</f>
        <v>#REF!</v>
      </c>
      <c r="T123" s="6" t="e">
        <f>VLOOKUP(A123,'Plano de Contas'!#REF!,13,FALSE)</f>
        <v>#REF!</v>
      </c>
    </row>
    <row r="124" spans="1:20" s="5" customFormat="1" x14ac:dyDescent="0.25">
      <c r="A124" t="s">
        <v>256</v>
      </c>
      <c r="B124">
        <v>852</v>
      </c>
      <c r="C124" t="s">
        <v>257</v>
      </c>
      <c r="D124" s="10">
        <v>1921.33</v>
      </c>
      <c r="E124"/>
      <c r="F124" s="10">
        <v>385.97</v>
      </c>
      <c r="G124"/>
      <c r="H124" s="10">
        <v>2307.3000000000002</v>
      </c>
      <c r="I124" t="s">
        <v>35</v>
      </c>
      <c r="J124" s="10">
        <v>0</v>
      </c>
      <c r="K124"/>
      <c r="L124" s="1">
        <f t="shared" si="1"/>
        <v>0</v>
      </c>
      <c r="N124" s="6" t="str">
        <f>IF(ISERROR(VLOOKUP($A124,'Plano de Contas'!#REF!,8,FALSE)),"",VLOOKUP($A124,'Plano de Contas'!#REF!,8,FALSE))</f>
        <v/>
      </c>
      <c r="P124" s="6" t="str">
        <f>IF(ISERROR(VLOOKUP($A124,'Plano de Contas'!#REF!,10,FALSE)),"",VLOOKUP($A124,'Plano de Contas'!#REF!,10,FALSE))</f>
        <v/>
      </c>
      <c r="R124" s="6" t="e">
        <f>VLOOKUP(A124,'Plano de Contas'!#REF!,12,FALSE)</f>
        <v>#REF!</v>
      </c>
      <c r="T124" s="6" t="e">
        <f>VLOOKUP(A124,'Plano de Contas'!#REF!,13,FALSE)</f>
        <v>#REF!</v>
      </c>
    </row>
    <row r="125" spans="1:20" s="5" customFormat="1" x14ac:dyDescent="0.25">
      <c r="A125" t="s">
        <v>258</v>
      </c>
      <c r="B125">
        <v>853</v>
      </c>
      <c r="C125" t="s">
        <v>259</v>
      </c>
      <c r="D125" s="10">
        <v>179076.71</v>
      </c>
      <c r="E125"/>
      <c r="F125">
        <v>0</v>
      </c>
      <c r="G125"/>
      <c r="H125">
        <v>0</v>
      </c>
      <c r="I125"/>
      <c r="J125" s="10">
        <v>179076.71</v>
      </c>
      <c r="K125"/>
      <c r="L125" s="1">
        <f t="shared" si="1"/>
        <v>179076.71</v>
      </c>
      <c r="N125" s="6" t="str">
        <f>IF(ISERROR(VLOOKUP($A125,'Plano de Contas'!#REF!,8,FALSE)),"",VLOOKUP($A125,'Plano de Contas'!#REF!,8,FALSE))</f>
        <v/>
      </c>
      <c r="P125" s="6" t="str">
        <f>IF(ISERROR(VLOOKUP($A125,'Plano de Contas'!#REF!,10,FALSE)),"",VLOOKUP($A125,'Plano de Contas'!#REF!,10,FALSE))</f>
        <v/>
      </c>
      <c r="R125" s="6" t="e">
        <f>VLOOKUP(A125,'Plano de Contas'!#REF!,12,FALSE)</f>
        <v>#REF!</v>
      </c>
      <c r="T125" s="6" t="e">
        <f>VLOOKUP(A125,'Plano de Contas'!#REF!,13,FALSE)</f>
        <v>#REF!</v>
      </c>
    </row>
    <row r="126" spans="1:20" s="5" customFormat="1" x14ac:dyDescent="0.25">
      <c r="A126" t="s">
        <v>260</v>
      </c>
      <c r="B126">
        <v>941</v>
      </c>
      <c r="C126" t="s">
        <v>261</v>
      </c>
      <c r="D126" s="10">
        <v>17363063.100000001</v>
      </c>
      <c r="E126"/>
      <c r="F126" s="10">
        <v>0</v>
      </c>
      <c r="G126"/>
      <c r="H126" s="10">
        <v>0</v>
      </c>
      <c r="I126"/>
      <c r="J126" s="10">
        <v>17363063.100000001</v>
      </c>
      <c r="K126"/>
      <c r="L126" s="1">
        <f t="shared" si="1"/>
        <v>17363063.100000001</v>
      </c>
      <c r="N126" s="6" t="str">
        <f>IF(ISERROR(VLOOKUP($A126,'Plano de Contas'!#REF!,8,FALSE)),"",VLOOKUP($A126,'Plano de Contas'!#REF!,8,FALSE))</f>
        <v/>
      </c>
      <c r="P126" s="6" t="str">
        <f>IF(ISERROR(VLOOKUP($A126,'Plano de Contas'!#REF!,10,FALSE)),"",VLOOKUP($A126,'Plano de Contas'!#REF!,10,FALSE))</f>
        <v/>
      </c>
      <c r="R126" s="6" t="e">
        <f>VLOOKUP(A126,'Plano de Contas'!#REF!,12,FALSE)</f>
        <v>#REF!</v>
      </c>
      <c r="T126" s="6" t="e">
        <f>VLOOKUP(A126,'Plano de Contas'!#REF!,13,FALSE)</f>
        <v>#REF!</v>
      </c>
    </row>
    <row r="127" spans="1:20" s="5" customFormat="1" x14ac:dyDescent="0.25">
      <c r="A127"/>
      <c r="B127"/>
      <c r="C127"/>
      <c r="D127" s="10"/>
      <c r="E127"/>
      <c r="F127" s="10"/>
      <c r="G127"/>
      <c r="H127" s="10"/>
      <c r="I127"/>
      <c r="J127" s="10"/>
      <c r="K127"/>
      <c r="L127" s="1">
        <f t="shared" si="1"/>
        <v>0</v>
      </c>
      <c r="N127" s="6" t="str">
        <f>IF(ISERROR(VLOOKUP($A127,'Plano de Contas'!#REF!,8,FALSE)),"",VLOOKUP($A127,'Plano de Contas'!#REF!,8,FALSE))</f>
        <v/>
      </c>
      <c r="P127" s="6" t="str">
        <f>IF(ISERROR(VLOOKUP($A127,'Plano de Contas'!#REF!,10,FALSE)),"",VLOOKUP($A127,'Plano de Contas'!#REF!,10,FALSE))</f>
        <v/>
      </c>
      <c r="R127" s="6" t="e">
        <f>VLOOKUP(A127,'Plano de Contas'!#REF!,12,FALSE)</f>
        <v>#REF!</v>
      </c>
      <c r="T127" s="6" t="e">
        <f>VLOOKUP(A127,'Plano de Contas'!#REF!,13,FALSE)</f>
        <v>#REF!</v>
      </c>
    </row>
    <row r="128" spans="1:20" s="5" customFormat="1" x14ac:dyDescent="0.25">
      <c r="A128" t="s">
        <v>267</v>
      </c>
      <c r="B128">
        <v>857</v>
      </c>
      <c r="C128" t="s">
        <v>268</v>
      </c>
      <c r="D128" s="10">
        <v>5525542.9400000004</v>
      </c>
      <c r="E128"/>
      <c r="F128" s="10">
        <v>83756.75</v>
      </c>
      <c r="G128"/>
      <c r="H128" s="10">
        <v>5609299.6900000004</v>
      </c>
      <c r="I128" t="s">
        <v>35</v>
      </c>
      <c r="J128" s="10">
        <v>0</v>
      </c>
      <c r="K128"/>
      <c r="L128" s="1">
        <f t="shared" si="1"/>
        <v>0</v>
      </c>
      <c r="N128" s="6" t="str">
        <f>IF(ISERROR(VLOOKUP($A128,'Plano de Contas'!#REF!,8,FALSE)),"",VLOOKUP($A128,'Plano de Contas'!#REF!,8,FALSE))</f>
        <v/>
      </c>
      <c r="P128" s="6" t="str">
        <f>IF(ISERROR(VLOOKUP($A128,'Plano de Contas'!#REF!,10,FALSE)),"",VLOOKUP($A128,'Plano de Contas'!#REF!,10,FALSE))</f>
        <v/>
      </c>
      <c r="R128" s="6" t="e">
        <f>VLOOKUP(A128,'Plano de Contas'!#REF!,12,FALSE)</f>
        <v>#REF!</v>
      </c>
      <c r="T128" s="6" t="e">
        <f>VLOOKUP(A128,'Plano de Contas'!#REF!,13,FALSE)</f>
        <v>#REF!</v>
      </c>
    </row>
    <row r="129" spans="1:20" s="5" customFormat="1" x14ac:dyDescent="0.25">
      <c r="A129" t="s">
        <v>269</v>
      </c>
      <c r="B129">
        <v>858</v>
      </c>
      <c r="C129" t="s">
        <v>270</v>
      </c>
      <c r="D129" s="10">
        <v>4170616.09</v>
      </c>
      <c r="E129"/>
      <c r="F129" s="10">
        <v>61585.63</v>
      </c>
      <c r="G129"/>
      <c r="H129" s="10">
        <v>4232201.72</v>
      </c>
      <c r="I129" t="s">
        <v>35</v>
      </c>
      <c r="J129" s="10">
        <v>0</v>
      </c>
      <c r="K129"/>
      <c r="L129" s="1">
        <f t="shared" si="1"/>
        <v>0</v>
      </c>
      <c r="N129" s="6" t="str">
        <f>IF(ISERROR(VLOOKUP($A129,'Plano de Contas'!#REF!,8,FALSE)),"",VLOOKUP($A129,'Plano de Contas'!#REF!,8,FALSE))</f>
        <v/>
      </c>
      <c r="P129" s="6" t="str">
        <f>IF(ISERROR(VLOOKUP($A129,'Plano de Contas'!#REF!,10,FALSE)),"",VLOOKUP($A129,'Plano de Contas'!#REF!,10,FALSE))</f>
        <v/>
      </c>
      <c r="R129" s="6" t="e">
        <f>VLOOKUP(A129,'Plano de Contas'!#REF!,12,FALSE)</f>
        <v>#REF!</v>
      </c>
      <c r="T129" s="6" t="e">
        <f>VLOOKUP(A129,'Plano de Contas'!#REF!,13,FALSE)</f>
        <v>#REF!</v>
      </c>
    </row>
    <row r="130" spans="1:20" s="5" customFormat="1" x14ac:dyDescent="0.25">
      <c r="A130" t="s">
        <v>271</v>
      </c>
      <c r="B130">
        <v>859</v>
      </c>
      <c r="C130" t="s">
        <v>272</v>
      </c>
      <c r="D130" s="10">
        <v>1354926.85</v>
      </c>
      <c r="E130"/>
      <c r="F130" s="10">
        <v>22171.119999999999</v>
      </c>
      <c r="G130"/>
      <c r="H130" s="10">
        <v>1377097.97</v>
      </c>
      <c r="I130" t="s">
        <v>35</v>
      </c>
      <c r="J130">
        <v>0</v>
      </c>
      <c r="K130"/>
      <c r="L130" s="1">
        <f t="shared" si="1"/>
        <v>0</v>
      </c>
      <c r="N130" s="6" t="str">
        <f>IF(ISERROR(VLOOKUP($A130,'Plano de Contas'!#REF!,8,FALSE)),"",VLOOKUP($A130,'Plano de Contas'!#REF!,8,FALSE))</f>
        <v/>
      </c>
      <c r="P130" s="6" t="str">
        <f>IF(ISERROR(VLOOKUP($A130,'Plano de Contas'!#REF!,10,FALSE)),"",VLOOKUP($A130,'Plano de Contas'!#REF!,10,FALSE))</f>
        <v/>
      </c>
      <c r="R130" s="6" t="e">
        <f>VLOOKUP(A130,'Plano de Contas'!#REF!,12,FALSE)</f>
        <v>#REF!</v>
      </c>
      <c r="T130" s="6" t="e">
        <f>VLOOKUP(A130,'Plano de Contas'!#REF!,13,FALSE)</f>
        <v>#REF!</v>
      </c>
    </row>
    <row r="131" spans="1:20" s="5" customFormat="1" x14ac:dyDescent="0.25">
      <c r="A131"/>
      <c r="B131"/>
      <c r="C131"/>
      <c r="D131" s="10"/>
      <c r="E131"/>
      <c r="F131" s="10"/>
      <c r="G131"/>
      <c r="H131" s="10"/>
      <c r="I131"/>
      <c r="J131" s="10"/>
      <c r="K131"/>
      <c r="L131" s="1">
        <f t="shared" si="1"/>
        <v>0</v>
      </c>
      <c r="N131" s="6" t="str">
        <f>IF(ISERROR(VLOOKUP($A131,'Plano de Contas'!#REF!,8,FALSE)),"",VLOOKUP($A131,'Plano de Contas'!#REF!,8,FALSE))</f>
        <v/>
      </c>
      <c r="P131" s="6" t="str">
        <f>IF(ISERROR(VLOOKUP($A131,'Plano de Contas'!#REF!,10,FALSE)),"",VLOOKUP($A131,'Plano de Contas'!#REF!,10,FALSE))</f>
        <v/>
      </c>
      <c r="R131" s="6" t="e">
        <f>VLOOKUP(A131,'Plano de Contas'!#REF!,12,FALSE)</f>
        <v>#REF!</v>
      </c>
      <c r="T131" s="6" t="e">
        <f>VLOOKUP(A131,'Plano de Contas'!#REF!,13,FALSE)</f>
        <v>#REF!</v>
      </c>
    </row>
    <row r="132" spans="1:20" s="5" customFormat="1" x14ac:dyDescent="0.25">
      <c r="A132" t="s">
        <v>273</v>
      </c>
      <c r="B132">
        <v>860</v>
      </c>
      <c r="C132" t="s">
        <v>274</v>
      </c>
      <c r="D132" s="10">
        <v>9433.5</v>
      </c>
      <c r="E132"/>
      <c r="F132">
        <v>0</v>
      </c>
      <c r="G132"/>
      <c r="H132">
        <v>0</v>
      </c>
      <c r="I132"/>
      <c r="J132" s="10">
        <v>9433.5</v>
      </c>
      <c r="K132"/>
      <c r="L132" s="1">
        <f t="shared" si="1"/>
        <v>9433.5</v>
      </c>
      <c r="N132" s="6" t="str">
        <f>IF(ISERROR(VLOOKUP($A132,'Plano de Contas'!#REF!,8,FALSE)),"",VLOOKUP($A132,'Plano de Contas'!#REF!,8,FALSE))</f>
        <v/>
      </c>
      <c r="P132" s="6" t="str">
        <f>IF(ISERROR(VLOOKUP($A132,'Plano de Contas'!#REF!,10,FALSE)),"",VLOOKUP($A132,'Plano de Contas'!#REF!,10,FALSE))</f>
        <v/>
      </c>
      <c r="R132" s="6" t="e">
        <f>VLOOKUP(A132,'Plano de Contas'!#REF!,12,FALSE)</f>
        <v>#REF!</v>
      </c>
      <c r="T132" s="6" t="e">
        <f>VLOOKUP(A132,'Plano de Contas'!#REF!,13,FALSE)</f>
        <v>#REF!</v>
      </c>
    </row>
    <row r="133" spans="1:20" s="5" customFormat="1" x14ac:dyDescent="0.25">
      <c r="A133" t="s">
        <v>275</v>
      </c>
      <c r="B133">
        <v>861</v>
      </c>
      <c r="C133" t="s">
        <v>276</v>
      </c>
      <c r="D133" s="10">
        <v>9433.5</v>
      </c>
      <c r="E133"/>
      <c r="F133" s="10">
        <v>0</v>
      </c>
      <c r="G133"/>
      <c r="H133" s="10">
        <v>0</v>
      </c>
      <c r="I133"/>
      <c r="J133" s="10">
        <v>9433.5</v>
      </c>
      <c r="K133"/>
      <c r="L133" s="1">
        <f t="shared" si="1"/>
        <v>9433.5</v>
      </c>
      <c r="N133" s="6" t="str">
        <f>IF(ISERROR(VLOOKUP($A133,'Plano de Contas'!#REF!,8,FALSE)),"",VLOOKUP($A133,'Plano de Contas'!#REF!,8,FALSE))</f>
        <v/>
      </c>
      <c r="P133" s="6" t="str">
        <f>IF(ISERROR(VLOOKUP($A133,'Plano de Contas'!#REF!,10,FALSE)),"",VLOOKUP($A133,'Plano de Contas'!#REF!,10,FALSE))</f>
        <v/>
      </c>
      <c r="R133" s="6" t="e">
        <f>VLOOKUP(A133,'Plano de Contas'!#REF!,12,FALSE)</f>
        <v>#REF!</v>
      </c>
      <c r="T133" s="6" t="e">
        <f>VLOOKUP(A133,'Plano de Contas'!#REF!,13,FALSE)</f>
        <v>#REF!</v>
      </c>
    </row>
    <row r="134" spans="1:20" s="5" customFormat="1" x14ac:dyDescent="0.25">
      <c r="A134"/>
      <c r="B134"/>
      <c r="C134"/>
      <c r="D134" s="10"/>
      <c r="E134"/>
      <c r="F134" s="10"/>
      <c r="G134"/>
      <c r="H134" s="10"/>
      <c r="I134"/>
      <c r="J134" s="10"/>
      <c r="K134"/>
      <c r="L134" s="1">
        <f t="shared" si="1"/>
        <v>0</v>
      </c>
      <c r="N134" s="6" t="str">
        <f>IF(ISERROR(VLOOKUP($A134,'Plano de Contas'!#REF!,8,FALSE)),"",VLOOKUP($A134,'Plano de Contas'!#REF!,8,FALSE))</f>
        <v/>
      </c>
      <c r="P134" s="6" t="str">
        <f>IF(ISERROR(VLOOKUP($A134,'Plano de Contas'!#REF!,10,FALSE)),"",VLOOKUP($A134,'Plano de Contas'!#REF!,10,FALSE))</f>
        <v/>
      </c>
      <c r="R134" s="6" t="e">
        <f>VLOOKUP(A134,'Plano de Contas'!#REF!,12,FALSE)</f>
        <v>#REF!</v>
      </c>
      <c r="T134" s="6" t="e">
        <f>VLOOKUP(A134,'Plano de Contas'!#REF!,13,FALSE)</f>
        <v>#REF!</v>
      </c>
    </row>
    <row r="135" spans="1:20" s="5" customFormat="1" x14ac:dyDescent="0.25">
      <c r="A135" t="s">
        <v>281</v>
      </c>
      <c r="B135">
        <v>72</v>
      </c>
      <c r="C135" t="s">
        <v>282</v>
      </c>
      <c r="D135" s="10">
        <v>37574.050000000003</v>
      </c>
      <c r="E135"/>
      <c r="F135">
        <v>0</v>
      </c>
      <c r="G135"/>
      <c r="H135" s="10">
        <v>0</v>
      </c>
      <c r="I135"/>
      <c r="J135" s="10">
        <v>37574.050000000003</v>
      </c>
      <c r="K135"/>
      <c r="L135" s="1">
        <f t="shared" si="1"/>
        <v>37574.050000000003</v>
      </c>
      <c r="N135" s="6" t="str">
        <f>IF(ISERROR(VLOOKUP($A135,'Plano de Contas'!#REF!,8,FALSE)),"",VLOOKUP($A135,'Plano de Contas'!#REF!,8,FALSE))</f>
        <v/>
      </c>
      <c r="P135" s="6" t="str">
        <f>IF(ISERROR(VLOOKUP($A135,'Plano de Contas'!#REF!,10,FALSE)),"",VLOOKUP($A135,'Plano de Contas'!#REF!,10,FALSE))</f>
        <v/>
      </c>
      <c r="R135" s="6" t="e">
        <f>VLOOKUP(A135,'Plano de Contas'!#REF!,12,FALSE)</f>
        <v>#REF!</v>
      </c>
      <c r="T135" s="6" t="e">
        <f>VLOOKUP(A135,'Plano de Contas'!#REF!,13,FALSE)</f>
        <v>#REF!</v>
      </c>
    </row>
    <row r="136" spans="1:20" s="5" customFormat="1" x14ac:dyDescent="0.25">
      <c r="A136"/>
      <c r="B136"/>
      <c r="C136"/>
      <c r="D136" s="10"/>
      <c r="E136"/>
      <c r="F136"/>
      <c r="G136"/>
      <c r="H136"/>
      <c r="I136"/>
      <c r="J136" s="10"/>
      <c r="K136"/>
      <c r="L136" s="1">
        <f t="shared" ref="L136:L199" si="2">IF(K136="-",-J136,J136)</f>
        <v>0</v>
      </c>
      <c r="N136" s="6" t="str">
        <f>IF(ISERROR(VLOOKUP($A136,'Plano de Contas'!#REF!,8,FALSE)),"",VLOOKUP($A136,'Plano de Contas'!#REF!,8,FALSE))</f>
        <v/>
      </c>
      <c r="P136" s="6" t="str">
        <f>IF(ISERROR(VLOOKUP($A136,'Plano de Contas'!#REF!,10,FALSE)),"",VLOOKUP($A136,'Plano de Contas'!#REF!,10,FALSE))</f>
        <v/>
      </c>
      <c r="R136" s="6" t="e">
        <f>VLOOKUP(A136,'Plano de Contas'!#REF!,12,FALSE)</f>
        <v>#REF!</v>
      </c>
      <c r="T136" s="6" t="e">
        <f>VLOOKUP(A136,'Plano de Contas'!#REF!,13,FALSE)</f>
        <v>#REF!</v>
      </c>
    </row>
    <row r="137" spans="1:20" s="5" customFormat="1" x14ac:dyDescent="0.25">
      <c r="A137" t="s">
        <v>283</v>
      </c>
      <c r="B137">
        <v>73</v>
      </c>
      <c r="C137" t="s">
        <v>284</v>
      </c>
      <c r="D137" s="10">
        <v>36414.07</v>
      </c>
      <c r="E137"/>
      <c r="F137" s="10">
        <v>0</v>
      </c>
      <c r="G137"/>
      <c r="H137" s="10">
        <v>0</v>
      </c>
      <c r="I137"/>
      <c r="J137" s="10">
        <v>36414.07</v>
      </c>
      <c r="K137"/>
      <c r="L137" s="1">
        <f t="shared" si="2"/>
        <v>36414.07</v>
      </c>
      <c r="N137" s="6" t="str">
        <f>IF(ISERROR(VLOOKUP($A137,'Plano de Contas'!#REF!,8,FALSE)),"",VLOOKUP($A137,'Plano de Contas'!#REF!,8,FALSE))</f>
        <v/>
      </c>
      <c r="P137" s="6" t="str">
        <f>IF(ISERROR(VLOOKUP($A137,'Plano de Contas'!#REF!,10,FALSE)),"",VLOOKUP($A137,'Plano de Contas'!#REF!,10,FALSE))</f>
        <v/>
      </c>
      <c r="R137" s="6" t="e">
        <f>VLOOKUP(A137,'Plano de Contas'!#REF!,12,FALSE)</f>
        <v>#REF!</v>
      </c>
      <c r="T137" s="6" t="e">
        <f>VLOOKUP(A137,'Plano de Contas'!#REF!,13,FALSE)</f>
        <v>#REF!</v>
      </c>
    </row>
    <row r="138" spans="1:20" s="5" customFormat="1" x14ac:dyDescent="0.25">
      <c r="A138" t="s">
        <v>285</v>
      </c>
      <c r="B138">
        <v>74</v>
      </c>
      <c r="C138" t="s">
        <v>286</v>
      </c>
      <c r="D138" s="10">
        <v>18164.060000000001</v>
      </c>
      <c r="E138"/>
      <c r="F138">
        <v>0</v>
      </c>
      <c r="G138"/>
      <c r="H138">
        <v>0</v>
      </c>
      <c r="I138"/>
      <c r="J138" s="10">
        <v>18164.060000000001</v>
      </c>
      <c r="K138"/>
      <c r="L138" s="1">
        <f t="shared" si="2"/>
        <v>18164.060000000001</v>
      </c>
      <c r="N138" s="6" t="str">
        <f>IF(ISERROR(VLOOKUP($A138,'Plano de Contas'!#REF!,8,FALSE)),"",VLOOKUP($A138,'Plano de Contas'!#REF!,8,FALSE))</f>
        <v/>
      </c>
      <c r="P138" s="6" t="str">
        <f>IF(ISERROR(VLOOKUP($A138,'Plano de Contas'!#REF!,10,FALSE)),"",VLOOKUP($A138,'Plano de Contas'!#REF!,10,FALSE))</f>
        <v/>
      </c>
      <c r="R138" s="6" t="e">
        <f>VLOOKUP(A138,'Plano de Contas'!#REF!,12,FALSE)</f>
        <v>#REF!</v>
      </c>
      <c r="T138" s="6" t="e">
        <f>VLOOKUP(A138,'Plano de Contas'!#REF!,13,FALSE)</f>
        <v>#REF!</v>
      </c>
    </row>
    <row r="139" spans="1:20" s="5" customFormat="1" x14ac:dyDescent="0.25">
      <c r="A139" t="s">
        <v>287</v>
      </c>
      <c r="B139">
        <v>75</v>
      </c>
      <c r="C139" t="s">
        <v>288</v>
      </c>
      <c r="D139" s="10">
        <v>18250.009999999998</v>
      </c>
      <c r="E139"/>
      <c r="F139" s="10">
        <v>0</v>
      </c>
      <c r="G139"/>
      <c r="H139" s="10">
        <v>0</v>
      </c>
      <c r="I139"/>
      <c r="J139" s="10">
        <v>18250.009999999998</v>
      </c>
      <c r="K139"/>
      <c r="L139" s="1">
        <f t="shared" si="2"/>
        <v>18250.009999999998</v>
      </c>
      <c r="N139" s="6" t="str">
        <f>IF(ISERROR(VLOOKUP($A139,'Plano de Contas'!#REF!,8,FALSE)),"",VLOOKUP($A139,'Plano de Contas'!#REF!,8,FALSE))</f>
        <v/>
      </c>
      <c r="P139" s="6" t="str">
        <f>IF(ISERROR(VLOOKUP($A139,'Plano de Contas'!#REF!,10,FALSE)),"",VLOOKUP($A139,'Plano de Contas'!#REF!,10,FALSE))</f>
        <v/>
      </c>
      <c r="R139" s="6" t="e">
        <f>VLOOKUP(A139,'Plano de Contas'!#REF!,12,FALSE)</f>
        <v>#REF!</v>
      </c>
      <c r="T139" s="6" t="e">
        <f>VLOOKUP(A139,'Plano de Contas'!#REF!,13,FALSE)</f>
        <v>#REF!</v>
      </c>
    </row>
    <row r="140" spans="1:20" s="5" customFormat="1" x14ac:dyDescent="0.25">
      <c r="A140"/>
      <c r="B140"/>
      <c r="C140"/>
      <c r="D140" s="10"/>
      <c r="E140"/>
      <c r="F140"/>
      <c r="G140"/>
      <c r="H140"/>
      <c r="I140"/>
      <c r="J140" s="10"/>
      <c r="K140"/>
      <c r="L140" s="1">
        <f t="shared" si="2"/>
        <v>0</v>
      </c>
      <c r="N140" s="6" t="str">
        <f>IF(ISERROR(VLOOKUP($A140,'Plano de Contas'!#REF!,8,FALSE)),"",VLOOKUP($A140,'Plano de Contas'!#REF!,8,FALSE))</f>
        <v/>
      </c>
      <c r="P140" s="6" t="str">
        <f>IF(ISERROR(VLOOKUP($A140,'Plano de Contas'!#REF!,10,FALSE)),"",VLOOKUP($A140,'Plano de Contas'!#REF!,10,FALSE))</f>
        <v/>
      </c>
      <c r="R140" s="6" t="e">
        <f>VLOOKUP(A140,'Plano de Contas'!#REF!,12,FALSE)</f>
        <v>#REF!</v>
      </c>
      <c r="T140" s="6" t="e">
        <f>VLOOKUP(A140,'Plano de Contas'!#REF!,13,FALSE)</f>
        <v>#REF!</v>
      </c>
    </row>
    <row r="141" spans="1:20" s="5" customFormat="1" x14ac:dyDescent="0.25">
      <c r="A141" t="s">
        <v>289</v>
      </c>
      <c r="B141">
        <v>76</v>
      </c>
      <c r="C141" t="s">
        <v>290</v>
      </c>
      <c r="D141" s="10">
        <v>3216838.38</v>
      </c>
      <c r="E141"/>
      <c r="F141" s="10">
        <v>0</v>
      </c>
      <c r="G141"/>
      <c r="H141">
        <v>0</v>
      </c>
      <c r="I141"/>
      <c r="J141" s="10">
        <v>3216838.38</v>
      </c>
      <c r="K141"/>
      <c r="L141" s="1">
        <f t="shared" si="2"/>
        <v>3216838.38</v>
      </c>
      <c r="N141" s="6" t="str">
        <f>IF(ISERROR(VLOOKUP($A141,'Plano de Contas'!#REF!,8,FALSE)),"",VLOOKUP($A141,'Plano de Contas'!#REF!,8,FALSE))</f>
        <v/>
      </c>
      <c r="P141" s="6" t="str">
        <f>IF(ISERROR(VLOOKUP($A141,'Plano de Contas'!#REF!,10,FALSE)),"",VLOOKUP($A141,'Plano de Contas'!#REF!,10,FALSE))</f>
        <v/>
      </c>
      <c r="R141" s="6" t="e">
        <f>VLOOKUP(A141,'Plano de Contas'!#REF!,12,FALSE)</f>
        <v>#REF!</v>
      </c>
      <c r="T141" s="6" t="e">
        <f>VLOOKUP(A141,'Plano de Contas'!#REF!,13,FALSE)</f>
        <v>#REF!</v>
      </c>
    </row>
    <row r="142" spans="1:20" s="5" customFormat="1" x14ac:dyDescent="0.25">
      <c r="A142" t="s">
        <v>291</v>
      </c>
      <c r="B142">
        <v>77</v>
      </c>
      <c r="C142" t="s">
        <v>292</v>
      </c>
      <c r="D142" s="10">
        <v>3216418.22</v>
      </c>
      <c r="E142"/>
      <c r="F142">
        <v>0</v>
      </c>
      <c r="G142"/>
      <c r="H142">
        <v>0</v>
      </c>
      <c r="I142"/>
      <c r="J142" s="10">
        <v>3216418.22</v>
      </c>
      <c r="K142"/>
      <c r="L142" s="1">
        <f t="shared" si="2"/>
        <v>3216418.22</v>
      </c>
      <c r="N142" s="6" t="str">
        <f>IF(ISERROR(VLOOKUP($A142,'Plano de Contas'!#REF!,8,FALSE)),"",VLOOKUP($A142,'Plano de Contas'!#REF!,8,FALSE))</f>
        <v/>
      </c>
      <c r="P142" s="6" t="str">
        <f>IF(ISERROR(VLOOKUP($A142,'Plano de Contas'!#REF!,10,FALSE)),"",VLOOKUP($A142,'Plano de Contas'!#REF!,10,FALSE))</f>
        <v/>
      </c>
      <c r="R142" s="6" t="e">
        <f>VLOOKUP(A142,'Plano de Contas'!#REF!,12,FALSE)</f>
        <v>#REF!</v>
      </c>
      <c r="T142" s="6" t="e">
        <f>VLOOKUP(A142,'Plano de Contas'!#REF!,13,FALSE)</f>
        <v>#REF!</v>
      </c>
    </row>
    <row r="143" spans="1:20" s="5" customFormat="1" x14ac:dyDescent="0.25">
      <c r="A143" t="s">
        <v>293</v>
      </c>
      <c r="B143">
        <v>78</v>
      </c>
      <c r="C143" t="s">
        <v>294</v>
      </c>
      <c r="D143" s="10">
        <v>420.16</v>
      </c>
      <c r="E143"/>
      <c r="F143">
        <v>0</v>
      </c>
      <c r="G143"/>
      <c r="H143">
        <v>0</v>
      </c>
      <c r="I143"/>
      <c r="J143" s="10">
        <v>420.16</v>
      </c>
      <c r="K143"/>
      <c r="L143" s="1">
        <f t="shared" si="2"/>
        <v>420.16</v>
      </c>
      <c r="N143" s="6" t="str">
        <f>IF(ISERROR(VLOOKUP($A143,'Plano de Contas'!#REF!,8,FALSE)),"",VLOOKUP($A143,'Plano de Contas'!#REF!,8,FALSE))</f>
        <v/>
      </c>
      <c r="P143" s="6" t="str">
        <f>IF(ISERROR(VLOOKUP($A143,'Plano de Contas'!#REF!,10,FALSE)),"",VLOOKUP($A143,'Plano de Contas'!#REF!,10,FALSE))</f>
        <v/>
      </c>
      <c r="R143" s="6" t="e">
        <f>VLOOKUP(A143,'Plano de Contas'!#REF!,12,FALSE)</f>
        <v>#REF!</v>
      </c>
      <c r="T143" s="6" t="e">
        <f>VLOOKUP(A143,'Plano de Contas'!#REF!,13,FALSE)</f>
        <v>#REF!</v>
      </c>
    </row>
    <row r="144" spans="1:20" s="5" customFormat="1" x14ac:dyDescent="0.25">
      <c r="A144"/>
      <c r="B144"/>
      <c r="C144"/>
      <c r="D144" s="10"/>
      <c r="E144"/>
      <c r="F144" s="10"/>
      <c r="G144"/>
      <c r="H144"/>
      <c r="I144"/>
      <c r="J144" s="10"/>
      <c r="K144"/>
      <c r="L144" s="1">
        <f t="shared" si="2"/>
        <v>0</v>
      </c>
      <c r="N144" s="6" t="str">
        <f>IF(ISERROR(VLOOKUP($A144,'Plano de Contas'!#REF!,8,FALSE)),"",VLOOKUP($A144,'Plano de Contas'!#REF!,8,FALSE))</f>
        <v/>
      </c>
      <c r="P144" s="6" t="str">
        <f>IF(ISERROR(VLOOKUP($A144,'Plano de Contas'!#REF!,10,FALSE)),"",VLOOKUP($A144,'Plano de Contas'!#REF!,10,FALSE))</f>
        <v/>
      </c>
      <c r="R144" s="6" t="e">
        <f>VLOOKUP(A144,'Plano de Contas'!#REF!,12,FALSE)</f>
        <v>#REF!</v>
      </c>
      <c r="T144" s="6" t="e">
        <f>VLOOKUP(A144,'Plano de Contas'!#REF!,13,FALSE)</f>
        <v>#REF!</v>
      </c>
    </row>
    <row r="145" spans="1:20" s="5" customFormat="1" x14ac:dyDescent="0.25">
      <c r="A145" t="s">
        <v>295</v>
      </c>
      <c r="B145">
        <v>456</v>
      </c>
      <c r="C145" t="s">
        <v>296</v>
      </c>
      <c r="D145" s="10">
        <v>3215678.4</v>
      </c>
      <c r="E145" t="s">
        <v>35</v>
      </c>
      <c r="F145">
        <v>0</v>
      </c>
      <c r="G145"/>
      <c r="H145">
        <v>0</v>
      </c>
      <c r="I145"/>
      <c r="J145" s="10">
        <v>3215678.4</v>
      </c>
      <c r="K145" t="s">
        <v>35</v>
      </c>
      <c r="L145" s="1">
        <f t="shared" si="2"/>
        <v>-3215678.4</v>
      </c>
      <c r="N145" s="6" t="str">
        <f>IF(ISERROR(VLOOKUP($A145,'Plano de Contas'!#REF!,8,FALSE)),"",VLOOKUP($A145,'Plano de Contas'!#REF!,8,FALSE))</f>
        <v/>
      </c>
      <c r="P145" s="6" t="str">
        <f>IF(ISERROR(VLOOKUP($A145,'Plano de Contas'!#REF!,10,FALSE)),"",VLOOKUP($A145,'Plano de Contas'!#REF!,10,FALSE))</f>
        <v/>
      </c>
      <c r="R145" s="6" t="e">
        <f>VLOOKUP(A145,'Plano de Contas'!#REF!,12,FALSE)</f>
        <v>#REF!</v>
      </c>
      <c r="T145" s="6" t="e">
        <f>VLOOKUP(A145,'Plano de Contas'!#REF!,13,FALSE)</f>
        <v>#REF!</v>
      </c>
    </row>
    <row r="146" spans="1:20" s="5" customFormat="1" x14ac:dyDescent="0.25">
      <c r="A146" t="s">
        <v>297</v>
      </c>
      <c r="B146">
        <v>457</v>
      </c>
      <c r="C146" t="s">
        <v>298</v>
      </c>
      <c r="D146" s="10">
        <v>3215678.4</v>
      </c>
      <c r="E146" t="s">
        <v>35</v>
      </c>
      <c r="F146">
        <v>0</v>
      </c>
      <c r="G146"/>
      <c r="H146" s="10">
        <v>0</v>
      </c>
      <c r="I146"/>
      <c r="J146" s="10">
        <v>3215678.4</v>
      </c>
      <c r="K146" t="s">
        <v>35</v>
      </c>
      <c r="L146" s="1">
        <f t="shared" si="2"/>
        <v>-3215678.4</v>
      </c>
      <c r="N146" s="6" t="str">
        <f>IF(ISERROR(VLOOKUP($A146,'Plano de Contas'!#REF!,8,FALSE)),"",VLOOKUP($A146,'Plano de Contas'!#REF!,8,FALSE))</f>
        <v/>
      </c>
      <c r="P146" s="6" t="str">
        <f>IF(ISERROR(VLOOKUP($A146,'Plano de Contas'!#REF!,10,FALSE)),"",VLOOKUP($A146,'Plano de Contas'!#REF!,10,FALSE))</f>
        <v/>
      </c>
      <c r="R146" s="6" t="e">
        <f>VLOOKUP(A146,'Plano de Contas'!#REF!,12,FALSE)</f>
        <v>#REF!</v>
      </c>
      <c r="T146" s="6" t="e">
        <f>VLOOKUP(A146,'Plano de Contas'!#REF!,13,FALSE)</f>
        <v>#REF!</v>
      </c>
    </row>
    <row r="147" spans="1:20" s="5" customFormat="1" x14ac:dyDescent="0.25">
      <c r="A147"/>
      <c r="B147"/>
      <c r="C147"/>
      <c r="D147" s="10"/>
      <c r="E147"/>
      <c r="F147"/>
      <c r="G147"/>
      <c r="H147" s="10"/>
      <c r="I147"/>
      <c r="J147" s="10"/>
      <c r="K147"/>
      <c r="L147" s="1">
        <f t="shared" si="2"/>
        <v>0</v>
      </c>
      <c r="N147" s="6" t="str">
        <f>IF(ISERROR(VLOOKUP($A147,'Plano de Contas'!#REF!,8,FALSE)),"",VLOOKUP($A147,'Plano de Contas'!#REF!,8,FALSE))</f>
        <v/>
      </c>
      <c r="P147" s="6" t="str">
        <f>IF(ISERROR(VLOOKUP($A147,'Plano de Contas'!#REF!,10,FALSE)),"",VLOOKUP($A147,'Plano de Contas'!#REF!,10,FALSE))</f>
        <v/>
      </c>
      <c r="R147" s="6" t="e">
        <f>VLOOKUP(A147,'Plano de Contas'!#REF!,12,FALSE)</f>
        <v>#REF!</v>
      </c>
      <c r="T147" s="6" t="e">
        <f>VLOOKUP(A147,'Plano de Contas'!#REF!,13,FALSE)</f>
        <v>#REF!</v>
      </c>
    </row>
    <row r="148" spans="1:20" s="5" customFormat="1" x14ac:dyDescent="0.25">
      <c r="A148" t="s">
        <v>299</v>
      </c>
      <c r="B148">
        <v>79</v>
      </c>
      <c r="C148" t="s">
        <v>300</v>
      </c>
      <c r="D148" s="10">
        <v>5048216485.8599997</v>
      </c>
      <c r="E148"/>
      <c r="F148" s="10">
        <v>64976217.950000003</v>
      </c>
      <c r="G148"/>
      <c r="H148" s="10">
        <v>60403542.420000002</v>
      </c>
      <c r="I148" t="s">
        <v>35</v>
      </c>
      <c r="J148" s="10">
        <v>5052789161.3900003</v>
      </c>
      <c r="K148"/>
      <c r="L148" s="1">
        <f t="shared" si="2"/>
        <v>5052789161.3900003</v>
      </c>
      <c r="N148" s="6" t="str">
        <f>IF(ISERROR(VLOOKUP($A148,'Plano de Contas'!#REF!,8,FALSE)),"",VLOOKUP($A148,'Plano de Contas'!#REF!,8,FALSE))</f>
        <v/>
      </c>
      <c r="P148" s="6" t="str">
        <f>IF(ISERROR(VLOOKUP($A148,'Plano de Contas'!#REF!,10,FALSE)),"",VLOOKUP($A148,'Plano de Contas'!#REF!,10,FALSE))</f>
        <v/>
      </c>
      <c r="R148" s="6" t="e">
        <f>VLOOKUP(A148,'Plano de Contas'!#REF!,12,FALSE)</f>
        <v>#REF!</v>
      </c>
      <c r="T148" s="6" t="e">
        <f>VLOOKUP(A148,'Plano de Contas'!#REF!,13,FALSE)</f>
        <v>#REF!</v>
      </c>
    </row>
    <row r="149" spans="1:20" s="5" customFormat="1" x14ac:dyDescent="0.25">
      <c r="A149"/>
      <c r="B149"/>
      <c r="C149"/>
      <c r="D149" s="10"/>
      <c r="E149"/>
      <c r="F149"/>
      <c r="G149"/>
      <c r="H149"/>
      <c r="I149"/>
      <c r="J149" s="10"/>
      <c r="K149"/>
      <c r="L149" s="1">
        <f t="shared" si="2"/>
        <v>0</v>
      </c>
      <c r="N149" s="6" t="str">
        <f>IF(ISERROR(VLOOKUP($A149,'Plano de Contas'!#REF!,8,FALSE)),"",VLOOKUP($A149,'Plano de Contas'!#REF!,8,FALSE))</f>
        <v/>
      </c>
      <c r="P149" s="6" t="str">
        <f>IF(ISERROR(VLOOKUP($A149,'Plano de Contas'!#REF!,10,FALSE)),"",VLOOKUP($A149,'Plano de Contas'!#REF!,10,FALSE))</f>
        <v/>
      </c>
      <c r="R149" s="6" t="e">
        <f>VLOOKUP(A149,'Plano de Contas'!#REF!,12,FALSE)</f>
        <v>#REF!</v>
      </c>
      <c r="T149" s="6" t="e">
        <f>VLOOKUP(A149,'Plano de Contas'!#REF!,13,FALSE)</f>
        <v>#REF!</v>
      </c>
    </row>
    <row r="150" spans="1:20" s="5" customFormat="1" x14ac:dyDescent="0.25">
      <c r="A150" t="s">
        <v>301</v>
      </c>
      <c r="B150">
        <v>80</v>
      </c>
      <c r="C150" t="s">
        <v>302</v>
      </c>
      <c r="D150" s="10">
        <v>1297978237.9000001</v>
      </c>
      <c r="E150"/>
      <c r="F150" s="10">
        <v>59799407.369999997</v>
      </c>
      <c r="G150"/>
      <c r="H150">
        <v>0</v>
      </c>
      <c r="I150"/>
      <c r="J150" s="10">
        <v>1357777645.27</v>
      </c>
      <c r="K150"/>
      <c r="L150" s="1">
        <f t="shared" si="2"/>
        <v>1357777645.27</v>
      </c>
      <c r="N150" s="6" t="str">
        <f>IF(ISERROR(VLOOKUP($A150,'Plano de Contas'!#REF!,8,FALSE)),"",VLOOKUP($A150,'Plano de Contas'!#REF!,8,FALSE))</f>
        <v/>
      </c>
      <c r="P150" s="6" t="str">
        <f>IF(ISERROR(VLOOKUP($A150,'Plano de Contas'!#REF!,10,FALSE)),"",VLOOKUP($A150,'Plano de Contas'!#REF!,10,FALSE))</f>
        <v/>
      </c>
      <c r="R150" s="6" t="e">
        <f>VLOOKUP(A150,'Plano de Contas'!#REF!,12,FALSE)</f>
        <v>#REF!</v>
      </c>
      <c r="T150" s="6" t="e">
        <f>VLOOKUP(A150,'Plano de Contas'!#REF!,13,FALSE)</f>
        <v>#REF!</v>
      </c>
    </row>
    <row r="151" spans="1:20" s="5" customFormat="1" x14ac:dyDescent="0.25">
      <c r="A151" t="s">
        <v>303</v>
      </c>
      <c r="B151">
        <v>82</v>
      </c>
      <c r="C151" t="s">
        <v>193</v>
      </c>
      <c r="D151" s="10">
        <v>68746876.370000005</v>
      </c>
      <c r="E151"/>
      <c r="F151" s="10">
        <v>1822761.92</v>
      </c>
      <c r="G151"/>
      <c r="H151" s="10">
        <v>0</v>
      </c>
      <c r="I151"/>
      <c r="J151" s="10">
        <v>70569638.290000007</v>
      </c>
      <c r="K151"/>
      <c r="L151" s="1">
        <f t="shared" si="2"/>
        <v>70569638.290000007</v>
      </c>
      <c r="N151" s="6" t="str">
        <f>IF(ISERROR(VLOOKUP($A151,'Plano de Contas'!#REF!,8,FALSE)),"",VLOOKUP($A151,'Plano de Contas'!#REF!,8,FALSE))</f>
        <v/>
      </c>
      <c r="P151" s="6" t="str">
        <f>IF(ISERROR(VLOOKUP($A151,'Plano de Contas'!#REF!,10,FALSE)),"",VLOOKUP($A151,'Plano de Contas'!#REF!,10,FALSE))</f>
        <v/>
      </c>
      <c r="R151" s="6" t="e">
        <f>VLOOKUP(A151,'Plano de Contas'!#REF!,12,FALSE)</f>
        <v>#REF!</v>
      </c>
      <c r="T151" s="6" t="e">
        <f>VLOOKUP(A151,'Plano de Contas'!#REF!,13,FALSE)</f>
        <v>#REF!</v>
      </c>
    </row>
    <row r="152" spans="1:20" s="5" customFormat="1" x14ac:dyDescent="0.25">
      <c r="A152" t="s">
        <v>304</v>
      </c>
      <c r="B152">
        <v>83</v>
      </c>
      <c r="C152" t="s">
        <v>305</v>
      </c>
      <c r="D152" s="10">
        <v>4642772.51</v>
      </c>
      <c r="E152"/>
      <c r="F152">
        <v>0</v>
      </c>
      <c r="G152"/>
      <c r="H152">
        <v>0</v>
      </c>
      <c r="I152"/>
      <c r="J152" s="10">
        <v>4642772.51</v>
      </c>
      <c r="K152"/>
      <c r="L152" s="1">
        <f t="shared" si="2"/>
        <v>4642772.51</v>
      </c>
      <c r="N152" s="6" t="str">
        <f>IF(ISERROR(VLOOKUP($A152,'Plano de Contas'!#REF!,8,FALSE)),"",VLOOKUP($A152,'Plano de Contas'!#REF!,8,FALSE))</f>
        <v/>
      </c>
      <c r="P152" s="6" t="str">
        <f>IF(ISERROR(VLOOKUP($A152,'Plano de Contas'!#REF!,10,FALSE)),"",VLOOKUP($A152,'Plano de Contas'!#REF!,10,FALSE))</f>
        <v/>
      </c>
      <c r="R152" s="6" t="e">
        <f>VLOOKUP(A152,'Plano de Contas'!#REF!,12,FALSE)</f>
        <v>#REF!</v>
      </c>
      <c r="T152" s="6" t="e">
        <f>VLOOKUP(A152,'Plano de Contas'!#REF!,13,FALSE)</f>
        <v>#REF!</v>
      </c>
    </row>
    <row r="153" spans="1:20" s="5" customFormat="1" x14ac:dyDescent="0.25">
      <c r="A153" t="s">
        <v>306</v>
      </c>
      <c r="B153">
        <v>84</v>
      </c>
      <c r="C153" t="s">
        <v>307</v>
      </c>
      <c r="D153" s="10">
        <v>112643620.25</v>
      </c>
      <c r="E153"/>
      <c r="F153" s="10">
        <v>0</v>
      </c>
      <c r="G153"/>
      <c r="H153">
        <v>0</v>
      </c>
      <c r="I153"/>
      <c r="J153" s="10">
        <v>112643620.25</v>
      </c>
      <c r="K153"/>
      <c r="L153" s="1">
        <f t="shared" si="2"/>
        <v>112643620.25</v>
      </c>
      <c r="N153" s="6" t="str">
        <f>IF(ISERROR(VLOOKUP($A153,'Plano de Contas'!#REF!,8,FALSE)),"",VLOOKUP($A153,'Plano de Contas'!#REF!,8,FALSE))</f>
        <v/>
      </c>
      <c r="P153" s="6" t="str">
        <f>IF(ISERROR(VLOOKUP($A153,'Plano de Contas'!#REF!,10,FALSE)),"",VLOOKUP($A153,'Plano de Contas'!#REF!,10,FALSE))</f>
        <v/>
      </c>
      <c r="R153" s="6" t="e">
        <f>VLOOKUP(A153,'Plano de Contas'!#REF!,12,FALSE)</f>
        <v>#REF!</v>
      </c>
      <c r="T153" s="6" t="e">
        <f>VLOOKUP(A153,'Plano de Contas'!#REF!,13,FALSE)</f>
        <v>#REF!</v>
      </c>
    </row>
    <row r="154" spans="1:20" s="5" customFormat="1" x14ac:dyDescent="0.25">
      <c r="A154" t="s">
        <v>308</v>
      </c>
      <c r="B154">
        <v>85</v>
      </c>
      <c r="C154" t="s">
        <v>309</v>
      </c>
      <c r="D154" s="10">
        <v>1092722.4099999999</v>
      </c>
      <c r="E154"/>
      <c r="F154" s="10">
        <v>275000</v>
      </c>
      <c r="G154"/>
      <c r="H154">
        <v>0</v>
      </c>
      <c r="I154"/>
      <c r="J154" s="10">
        <v>1367722.41</v>
      </c>
      <c r="K154"/>
      <c r="L154" s="1">
        <f t="shared" si="2"/>
        <v>1367722.41</v>
      </c>
      <c r="N154" s="6" t="str">
        <f>IF(ISERROR(VLOOKUP($A154,'Plano de Contas'!#REF!,8,FALSE)),"",VLOOKUP($A154,'Plano de Contas'!#REF!,8,FALSE))</f>
        <v/>
      </c>
      <c r="P154" s="6" t="str">
        <f>IF(ISERROR(VLOOKUP($A154,'Plano de Contas'!#REF!,10,FALSE)),"",VLOOKUP($A154,'Plano de Contas'!#REF!,10,FALSE))</f>
        <v/>
      </c>
      <c r="R154" s="6" t="e">
        <f>VLOOKUP(A154,'Plano de Contas'!#REF!,12,FALSE)</f>
        <v>#REF!</v>
      </c>
      <c r="T154" s="6" t="e">
        <f>VLOOKUP(A154,'Plano de Contas'!#REF!,13,FALSE)</f>
        <v>#REF!</v>
      </c>
    </row>
    <row r="155" spans="1:20" s="5" customFormat="1" x14ac:dyDescent="0.25">
      <c r="A155" t="s">
        <v>310</v>
      </c>
      <c r="B155">
        <v>86</v>
      </c>
      <c r="C155" t="s">
        <v>311</v>
      </c>
      <c r="D155" s="10">
        <v>295686.71000000002</v>
      </c>
      <c r="E155"/>
      <c r="F155">
        <v>0</v>
      </c>
      <c r="G155"/>
      <c r="H155">
        <v>0</v>
      </c>
      <c r="I155"/>
      <c r="J155" s="10">
        <v>295686.71000000002</v>
      </c>
      <c r="K155"/>
      <c r="L155" s="1">
        <f t="shared" si="2"/>
        <v>295686.71000000002</v>
      </c>
      <c r="N155" s="6" t="str">
        <f>IF(ISERROR(VLOOKUP($A155,'Plano de Contas'!#REF!,8,FALSE)),"",VLOOKUP($A155,'Plano de Contas'!#REF!,8,FALSE))</f>
        <v/>
      </c>
      <c r="P155" s="6" t="str">
        <f>IF(ISERROR(VLOOKUP($A155,'Plano de Contas'!#REF!,10,FALSE)),"",VLOOKUP($A155,'Plano de Contas'!#REF!,10,FALSE))</f>
        <v/>
      </c>
      <c r="R155" s="6" t="e">
        <f>VLOOKUP(A155,'Plano de Contas'!#REF!,12,FALSE)</f>
        <v>#REF!</v>
      </c>
      <c r="T155" s="6" t="e">
        <f>VLOOKUP(A155,'Plano de Contas'!#REF!,13,FALSE)</f>
        <v>#REF!</v>
      </c>
    </row>
    <row r="156" spans="1:20" s="5" customFormat="1" x14ac:dyDescent="0.25">
      <c r="A156" t="s">
        <v>312</v>
      </c>
      <c r="B156">
        <v>87</v>
      </c>
      <c r="C156" t="s">
        <v>313</v>
      </c>
      <c r="D156" s="10">
        <v>3916562.12</v>
      </c>
      <c r="E156"/>
      <c r="F156">
        <v>0</v>
      </c>
      <c r="G156"/>
      <c r="H156">
        <v>0</v>
      </c>
      <c r="I156"/>
      <c r="J156" s="10">
        <v>3916562.12</v>
      </c>
      <c r="K156"/>
      <c r="L156" s="1">
        <f t="shared" si="2"/>
        <v>3916562.12</v>
      </c>
      <c r="N156" s="6" t="str">
        <f>IF(ISERROR(VLOOKUP($A156,'Plano de Contas'!#REF!,8,FALSE)),"",VLOOKUP($A156,'Plano de Contas'!#REF!,8,FALSE))</f>
        <v/>
      </c>
      <c r="P156" s="6" t="str">
        <f>IF(ISERROR(VLOOKUP($A156,'Plano de Contas'!#REF!,10,FALSE)),"",VLOOKUP($A156,'Plano de Contas'!#REF!,10,FALSE))</f>
        <v/>
      </c>
      <c r="R156" s="6" t="e">
        <f>VLOOKUP(A156,'Plano de Contas'!#REF!,12,FALSE)</f>
        <v>#REF!</v>
      </c>
      <c r="T156" s="6" t="e">
        <f>VLOOKUP(A156,'Plano de Contas'!#REF!,13,FALSE)</f>
        <v>#REF!</v>
      </c>
    </row>
    <row r="157" spans="1:20" s="5" customFormat="1" x14ac:dyDescent="0.25">
      <c r="A157" t="s">
        <v>314</v>
      </c>
      <c r="B157">
        <v>460</v>
      </c>
      <c r="C157" t="s">
        <v>315</v>
      </c>
      <c r="D157" s="10">
        <v>652825.9</v>
      </c>
      <c r="E157"/>
      <c r="F157" s="10">
        <v>415</v>
      </c>
      <c r="G157"/>
      <c r="H157">
        <v>0</v>
      </c>
      <c r="I157"/>
      <c r="J157" s="10">
        <v>653240.9</v>
      </c>
      <c r="K157"/>
      <c r="L157" s="1">
        <f t="shared" si="2"/>
        <v>653240.9</v>
      </c>
      <c r="N157" s="6" t="str">
        <f>IF(ISERROR(VLOOKUP($A157,'Plano de Contas'!#REF!,8,FALSE)),"",VLOOKUP($A157,'Plano de Contas'!#REF!,8,FALSE))</f>
        <v/>
      </c>
      <c r="P157" s="6" t="str">
        <f>IF(ISERROR(VLOOKUP($A157,'Plano de Contas'!#REF!,10,FALSE)),"",VLOOKUP($A157,'Plano de Contas'!#REF!,10,FALSE))</f>
        <v/>
      </c>
      <c r="R157" s="6" t="e">
        <f>VLOOKUP(A157,'Plano de Contas'!#REF!,12,FALSE)</f>
        <v>#REF!</v>
      </c>
      <c r="T157" s="6" t="e">
        <f>VLOOKUP(A157,'Plano de Contas'!#REF!,13,FALSE)</f>
        <v>#REF!</v>
      </c>
    </row>
    <row r="158" spans="1:20" s="5" customFormat="1" x14ac:dyDescent="0.25">
      <c r="A158" t="s">
        <v>316</v>
      </c>
      <c r="B158">
        <v>464</v>
      </c>
      <c r="C158" t="s">
        <v>317</v>
      </c>
      <c r="D158" s="10">
        <v>285596.90999999997</v>
      </c>
      <c r="E158"/>
      <c r="F158" s="10">
        <v>0</v>
      </c>
      <c r="G158"/>
      <c r="H158" s="10">
        <v>0</v>
      </c>
      <c r="I158"/>
      <c r="J158" s="10">
        <v>285596.90999999997</v>
      </c>
      <c r="K158"/>
      <c r="L158" s="1">
        <f t="shared" si="2"/>
        <v>285596.90999999997</v>
      </c>
      <c r="N158" s="6" t="str">
        <f>IF(ISERROR(VLOOKUP($A158,'Plano de Contas'!#REF!,8,FALSE)),"",VLOOKUP($A158,'Plano de Contas'!#REF!,8,FALSE))</f>
        <v/>
      </c>
      <c r="P158" s="6" t="str">
        <f>IF(ISERROR(VLOOKUP($A158,'Plano de Contas'!#REF!,10,FALSE)),"",VLOOKUP($A158,'Plano de Contas'!#REF!,10,FALSE))</f>
        <v/>
      </c>
      <c r="R158" s="6" t="e">
        <f>VLOOKUP(A158,'Plano de Contas'!#REF!,12,FALSE)</f>
        <v>#REF!</v>
      </c>
      <c r="T158" s="6" t="e">
        <f>VLOOKUP(A158,'Plano de Contas'!#REF!,13,FALSE)</f>
        <v>#REF!</v>
      </c>
    </row>
    <row r="159" spans="1:20" s="5" customFormat="1" x14ac:dyDescent="0.25">
      <c r="A159" t="s">
        <v>322</v>
      </c>
      <c r="B159">
        <v>691</v>
      </c>
      <c r="C159" t="s">
        <v>323</v>
      </c>
      <c r="D159" s="10">
        <v>60904.55</v>
      </c>
      <c r="E159"/>
      <c r="F159">
        <v>0</v>
      </c>
      <c r="G159"/>
      <c r="H159">
        <v>0</v>
      </c>
      <c r="I159"/>
      <c r="J159" s="10">
        <v>60904.55</v>
      </c>
      <c r="K159"/>
      <c r="L159" s="1">
        <f t="shared" si="2"/>
        <v>60904.55</v>
      </c>
      <c r="N159" s="6" t="str">
        <f>IF(ISERROR(VLOOKUP($A159,'Plano de Contas'!#REF!,8,FALSE)),"",VLOOKUP($A159,'Plano de Contas'!#REF!,8,FALSE))</f>
        <v/>
      </c>
      <c r="P159" s="6" t="str">
        <f>IF(ISERROR(VLOOKUP($A159,'Plano de Contas'!#REF!,10,FALSE)),"",VLOOKUP($A159,'Plano de Contas'!#REF!,10,FALSE))</f>
        <v/>
      </c>
      <c r="R159" s="6" t="e">
        <f>VLOOKUP(A159,'Plano de Contas'!#REF!,12,FALSE)</f>
        <v>#REF!</v>
      </c>
      <c r="T159" s="6" t="e">
        <f>VLOOKUP(A159,'Plano de Contas'!#REF!,13,FALSE)</f>
        <v>#REF!</v>
      </c>
    </row>
    <row r="160" spans="1:20" s="5" customFormat="1" x14ac:dyDescent="0.25">
      <c r="A160" t="s">
        <v>328</v>
      </c>
      <c r="B160">
        <v>745</v>
      </c>
      <c r="C160" t="s">
        <v>329</v>
      </c>
      <c r="D160" s="10">
        <v>60074480.219999999</v>
      </c>
      <c r="E160"/>
      <c r="F160" s="10">
        <v>0</v>
      </c>
      <c r="G160"/>
      <c r="H160">
        <v>0</v>
      </c>
      <c r="I160"/>
      <c r="J160" s="10">
        <v>60074480.219999999</v>
      </c>
      <c r="K160"/>
      <c r="L160" s="1">
        <f t="shared" si="2"/>
        <v>60074480.219999999</v>
      </c>
      <c r="N160" s="6" t="str">
        <f>IF(ISERROR(VLOOKUP($A160,'Plano de Contas'!#REF!,8,FALSE)),"",VLOOKUP($A160,'Plano de Contas'!#REF!,8,FALSE))</f>
        <v/>
      </c>
      <c r="P160" s="6" t="str">
        <f>IF(ISERROR(VLOOKUP($A160,'Plano de Contas'!#REF!,10,FALSE)),"",VLOOKUP($A160,'Plano de Contas'!#REF!,10,FALSE))</f>
        <v/>
      </c>
      <c r="R160" s="6" t="e">
        <f>VLOOKUP(A160,'Plano de Contas'!#REF!,12,FALSE)</f>
        <v>#REF!</v>
      </c>
      <c r="T160" s="6" t="e">
        <f>VLOOKUP(A160,'Plano de Contas'!#REF!,13,FALSE)</f>
        <v>#REF!</v>
      </c>
    </row>
    <row r="161" spans="1:20" s="5" customFormat="1" x14ac:dyDescent="0.25">
      <c r="A161" t="s">
        <v>336</v>
      </c>
      <c r="B161">
        <v>792</v>
      </c>
      <c r="C161" t="s">
        <v>337</v>
      </c>
      <c r="D161" s="10">
        <v>20510552.210000001</v>
      </c>
      <c r="E161"/>
      <c r="F161" s="10">
        <v>0</v>
      </c>
      <c r="G161"/>
      <c r="H161">
        <v>0</v>
      </c>
      <c r="I161"/>
      <c r="J161" s="10">
        <v>20510552.210000001</v>
      </c>
      <c r="K161"/>
      <c r="L161" s="1">
        <f t="shared" si="2"/>
        <v>20510552.210000001</v>
      </c>
      <c r="N161" s="6" t="str">
        <f>IF(ISERROR(VLOOKUP($A161,'Plano de Contas'!#REF!,8,FALSE)),"",VLOOKUP($A161,'Plano de Contas'!#REF!,8,FALSE))</f>
        <v/>
      </c>
      <c r="P161" s="6" t="str">
        <f>IF(ISERROR(VLOOKUP($A161,'Plano de Contas'!#REF!,10,FALSE)),"",VLOOKUP($A161,'Plano de Contas'!#REF!,10,FALSE))</f>
        <v/>
      </c>
      <c r="R161" s="6" t="e">
        <f>VLOOKUP(A161,'Plano de Contas'!#REF!,12,FALSE)</f>
        <v>#REF!</v>
      </c>
      <c r="T161" s="6" t="e">
        <f>VLOOKUP(A161,'Plano de Contas'!#REF!,13,FALSE)</f>
        <v>#REF!</v>
      </c>
    </row>
    <row r="162" spans="1:20" s="5" customFormat="1" x14ac:dyDescent="0.25">
      <c r="A162" t="s">
        <v>340</v>
      </c>
      <c r="B162">
        <v>797</v>
      </c>
      <c r="C162" t="s">
        <v>341</v>
      </c>
      <c r="D162" s="10">
        <v>1511363.46</v>
      </c>
      <c r="E162"/>
      <c r="F162">
        <v>0</v>
      </c>
      <c r="G162"/>
      <c r="H162">
        <v>0</v>
      </c>
      <c r="I162"/>
      <c r="J162" s="10">
        <v>1511363.46</v>
      </c>
      <c r="K162"/>
      <c r="L162" s="1">
        <f t="shared" si="2"/>
        <v>1511363.46</v>
      </c>
      <c r="N162" s="6" t="str">
        <f>IF(ISERROR(VLOOKUP($A162,'Plano de Contas'!#REF!,8,FALSE)),"",VLOOKUP($A162,'Plano de Contas'!#REF!,8,FALSE))</f>
        <v/>
      </c>
      <c r="P162" s="6" t="str">
        <f>IF(ISERROR(VLOOKUP($A162,'Plano de Contas'!#REF!,10,FALSE)),"",VLOOKUP($A162,'Plano de Contas'!#REF!,10,FALSE))</f>
        <v/>
      </c>
      <c r="R162" s="6" t="e">
        <f>VLOOKUP(A162,'Plano de Contas'!#REF!,12,FALSE)</f>
        <v>#REF!</v>
      </c>
      <c r="T162" s="6" t="e">
        <f>VLOOKUP(A162,'Plano de Contas'!#REF!,13,FALSE)</f>
        <v>#REF!</v>
      </c>
    </row>
    <row r="163" spans="1:20" s="5" customFormat="1" x14ac:dyDescent="0.25">
      <c r="A163" t="s">
        <v>344</v>
      </c>
      <c r="B163">
        <v>810</v>
      </c>
      <c r="C163" t="s">
        <v>345</v>
      </c>
      <c r="D163" s="10">
        <v>489670.98</v>
      </c>
      <c r="E163"/>
      <c r="F163">
        <v>0</v>
      </c>
      <c r="G163"/>
      <c r="H163">
        <v>0</v>
      </c>
      <c r="I163"/>
      <c r="J163" s="10">
        <v>489670.98</v>
      </c>
      <c r="K163"/>
      <c r="L163" s="1">
        <f t="shared" si="2"/>
        <v>489670.98</v>
      </c>
      <c r="N163" s="6" t="str">
        <f>IF(ISERROR(VLOOKUP($A163,'Plano de Contas'!#REF!,8,FALSE)),"",VLOOKUP($A163,'Plano de Contas'!#REF!,8,FALSE))</f>
        <v/>
      </c>
      <c r="P163" s="6" t="str">
        <f>IF(ISERROR(VLOOKUP($A163,'Plano de Contas'!#REF!,10,FALSE)),"",VLOOKUP($A163,'Plano de Contas'!#REF!,10,FALSE))</f>
        <v/>
      </c>
      <c r="R163" s="6" t="e">
        <f>VLOOKUP(A163,'Plano de Contas'!#REF!,12,FALSE)</f>
        <v>#REF!</v>
      </c>
      <c r="T163" s="6" t="e">
        <f>VLOOKUP(A163,'Plano de Contas'!#REF!,13,FALSE)</f>
        <v>#REF!</v>
      </c>
    </row>
    <row r="164" spans="1:20" s="5" customFormat="1" x14ac:dyDescent="0.25">
      <c r="A164" t="s">
        <v>346</v>
      </c>
      <c r="B164">
        <v>811</v>
      </c>
      <c r="C164" t="s">
        <v>1166</v>
      </c>
      <c r="D164" s="10">
        <v>4112968.51</v>
      </c>
      <c r="E164"/>
      <c r="F164" s="10">
        <v>0</v>
      </c>
      <c r="G164"/>
      <c r="H164">
        <v>0</v>
      </c>
      <c r="I164"/>
      <c r="J164" s="10">
        <v>4112968.51</v>
      </c>
      <c r="K164"/>
      <c r="L164" s="1">
        <f t="shared" si="2"/>
        <v>4112968.51</v>
      </c>
      <c r="N164" s="6" t="str">
        <f>IF(ISERROR(VLOOKUP($A164,'Plano de Contas'!#REF!,8,FALSE)),"",VLOOKUP($A164,'Plano de Contas'!#REF!,8,FALSE))</f>
        <v/>
      </c>
      <c r="P164" s="6" t="str">
        <f>IF(ISERROR(VLOOKUP($A164,'Plano de Contas'!#REF!,10,FALSE)),"",VLOOKUP($A164,'Plano de Contas'!#REF!,10,FALSE))</f>
        <v/>
      </c>
      <c r="R164" s="6" t="e">
        <f>VLOOKUP(A164,'Plano de Contas'!#REF!,12,FALSE)</f>
        <v>#REF!</v>
      </c>
      <c r="T164" s="6" t="e">
        <f>VLOOKUP(A164,'Plano de Contas'!#REF!,13,FALSE)</f>
        <v>#REF!</v>
      </c>
    </row>
    <row r="165" spans="1:20" s="5" customFormat="1" x14ac:dyDescent="0.25">
      <c r="A165" t="s">
        <v>350</v>
      </c>
      <c r="B165">
        <v>821</v>
      </c>
      <c r="C165" t="s">
        <v>351</v>
      </c>
      <c r="D165" s="10">
        <v>20849639.489999998</v>
      </c>
      <c r="E165"/>
      <c r="F165">
        <v>0</v>
      </c>
      <c r="G165"/>
      <c r="H165">
        <v>0</v>
      </c>
      <c r="I165"/>
      <c r="J165" s="10">
        <v>20849639.489999998</v>
      </c>
      <c r="K165"/>
      <c r="L165" s="1">
        <f t="shared" si="2"/>
        <v>20849639.489999998</v>
      </c>
      <c r="N165" s="6" t="str">
        <f>IF(ISERROR(VLOOKUP($A165,'Plano de Contas'!#REF!,8,FALSE)),"",VLOOKUP($A165,'Plano de Contas'!#REF!,8,FALSE))</f>
        <v/>
      </c>
      <c r="P165" s="6" t="str">
        <f>IF(ISERROR(VLOOKUP($A165,'Plano de Contas'!#REF!,10,FALSE)),"",VLOOKUP($A165,'Plano de Contas'!#REF!,10,FALSE))</f>
        <v/>
      </c>
      <c r="R165" s="6" t="e">
        <f>VLOOKUP(A165,'Plano de Contas'!#REF!,12,FALSE)</f>
        <v>#REF!</v>
      </c>
      <c r="T165" s="6" t="e">
        <f>VLOOKUP(A165,'Plano de Contas'!#REF!,13,FALSE)</f>
        <v>#REF!</v>
      </c>
    </row>
    <row r="166" spans="1:20" s="5" customFormat="1" x14ac:dyDescent="0.25">
      <c r="A166" t="s">
        <v>1014</v>
      </c>
      <c r="B166">
        <v>989</v>
      </c>
      <c r="C166" t="s">
        <v>1015</v>
      </c>
      <c r="D166" s="10">
        <v>5688861.7400000002</v>
      </c>
      <c r="E166"/>
      <c r="F166">
        <v>0</v>
      </c>
      <c r="G166"/>
      <c r="H166">
        <v>0</v>
      </c>
      <c r="I166"/>
      <c r="J166" s="10">
        <v>5688861.7400000002</v>
      </c>
      <c r="K166"/>
      <c r="L166" s="1">
        <f t="shared" si="2"/>
        <v>5688861.7400000002</v>
      </c>
      <c r="N166" s="6" t="str">
        <f>IF(ISERROR(VLOOKUP($A166,'Plano de Contas'!#REF!,8,FALSE)),"",VLOOKUP($A166,'Plano de Contas'!#REF!,8,FALSE))</f>
        <v/>
      </c>
      <c r="P166" s="6" t="str">
        <f>IF(ISERROR(VLOOKUP($A166,'Plano de Contas'!#REF!,10,FALSE)),"",VLOOKUP($A166,'Plano de Contas'!#REF!,10,FALSE))</f>
        <v/>
      </c>
      <c r="R166" s="6" t="e">
        <f>VLOOKUP(A166,'Plano de Contas'!#REF!,12,FALSE)</f>
        <v>#REF!</v>
      </c>
      <c r="T166" s="6" t="e">
        <f>VLOOKUP(A166,'Plano de Contas'!#REF!,13,FALSE)</f>
        <v>#REF!</v>
      </c>
    </row>
    <row r="167" spans="1:20" s="5" customFormat="1" x14ac:dyDescent="0.25">
      <c r="A167" t="s">
        <v>1016</v>
      </c>
      <c r="B167">
        <v>990</v>
      </c>
      <c r="C167" t="s">
        <v>1017</v>
      </c>
      <c r="D167" s="10">
        <v>32135051.829999998</v>
      </c>
      <c r="E167"/>
      <c r="F167">
        <v>0</v>
      </c>
      <c r="G167"/>
      <c r="H167">
        <v>0</v>
      </c>
      <c r="I167"/>
      <c r="J167" s="10">
        <v>32135051.829999998</v>
      </c>
      <c r="K167"/>
      <c r="L167" s="1">
        <f t="shared" si="2"/>
        <v>32135051.829999998</v>
      </c>
      <c r="N167" s="6" t="str">
        <f>IF(ISERROR(VLOOKUP($A167,'Plano de Contas'!#REF!,8,FALSE)),"",VLOOKUP($A167,'Plano de Contas'!#REF!,8,FALSE))</f>
        <v/>
      </c>
      <c r="P167" s="6" t="str">
        <f>IF(ISERROR(VLOOKUP($A167,'Plano de Contas'!#REF!,10,FALSE)),"",VLOOKUP($A167,'Plano de Contas'!#REF!,10,FALSE))</f>
        <v/>
      </c>
      <c r="R167" s="6" t="e">
        <f>VLOOKUP(A167,'Plano de Contas'!#REF!,12,FALSE)</f>
        <v>#REF!</v>
      </c>
      <c r="T167" s="6" t="e">
        <f>VLOOKUP(A167,'Plano de Contas'!#REF!,13,FALSE)</f>
        <v>#REF!</v>
      </c>
    </row>
    <row r="168" spans="1:20" s="5" customFormat="1" x14ac:dyDescent="0.25">
      <c r="A168" t="s">
        <v>1020</v>
      </c>
      <c r="B168">
        <v>1042</v>
      </c>
      <c r="C168" t="s">
        <v>1021</v>
      </c>
      <c r="D168" s="10">
        <v>960268081.73000002</v>
      </c>
      <c r="E168"/>
      <c r="F168" s="10">
        <v>57701230.450000003</v>
      </c>
      <c r="G168"/>
      <c r="H168">
        <v>0</v>
      </c>
      <c r="I168"/>
      <c r="J168" s="10">
        <v>1017969312.1799999</v>
      </c>
      <c r="K168"/>
      <c r="L168" s="1">
        <f t="shared" si="2"/>
        <v>1017969312.1799999</v>
      </c>
      <c r="N168" s="6" t="str">
        <f>IF(ISERROR(VLOOKUP($A168,'Plano de Contas'!#REF!,8,FALSE)),"",VLOOKUP($A168,'Plano de Contas'!#REF!,8,FALSE))</f>
        <v/>
      </c>
      <c r="P168" s="6" t="str">
        <f>IF(ISERROR(VLOOKUP($A168,'Plano de Contas'!#REF!,10,FALSE)),"",VLOOKUP($A168,'Plano de Contas'!#REF!,10,FALSE))</f>
        <v/>
      </c>
      <c r="R168" s="6" t="e">
        <f>VLOOKUP(A168,'Plano de Contas'!#REF!,12,FALSE)</f>
        <v>#REF!</v>
      </c>
      <c r="T168" s="6" t="e">
        <f>VLOOKUP(A168,'Plano de Contas'!#REF!,13,FALSE)</f>
        <v>#REF!</v>
      </c>
    </row>
    <row r="169" spans="1:20" s="5" customFormat="1" x14ac:dyDescent="0.25">
      <c r="A169"/>
      <c r="B169"/>
      <c r="C169"/>
      <c r="D169" s="10"/>
      <c r="E169"/>
      <c r="F169"/>
      <c r="G169"/>
      <c r="H169"/>
      <c r="I169"/>
      <c r="J169" s="10"/>
      <c r="K169"/>
      <c r="L169" s="1">
        <f t="shared" si="2"/>
        <v>0</v>
      </c>
      <c r="N169" s="6" t="str">
        <f>IF(ISERROR(VLOOKUP($A169,'Plano de Contas'!#REF!,8,FALSE)),"",VLOOKUP($A169,'Plano de Contas'!#REF!,8,FALSE))</f>
        <v/>
      </c>
      <c r="P169" s="6" t="str">
        <f>IF(ISERROR(VLOOKUP($A169,'Plano de Contas'!#REF!,10,FALSE)),"",VLOOKUP($A169,'Plano de Contas'!#REF!,10,FALSE))</f>
        <v/>
      </c>
      <c r="R169" s="6" t="e">
        <f>VLOOKUP(A169,'Plano de Contas'!#REF!,12,FALSE)</f>
        <v>#REF!</v>
      </c>
      <c r="T169" s="6" t="e">
        <f>VLOOKUP(A169,'Plano de Contas'!#REF!,13,FALSE)</f>
        <v>#REF!</v>
      </c>
    </row>
    <row r="170" spans="1:20" s="5" customFormat="1" x14ac:dyDescent="0.25">
      <c r="A170" t="s">
        <v>368</v>
      </c>
      <c r="B170">
        <v>88</v>
      </c>
      <c r="C170" t="s">
        <v>369</v>
      </c>
      <c r="D170" s="10">
        <v>61743117.82</v>
      </c>
      <c r="E170"/>
      <c r="F170">
        <v>0</v>
      </c>
      <c r="G170"/>
      <c r="H170">
        <v>0</v>
      </c>
      <c r="I170"/>
      <c r="J170" s="10">
        <v>61743117.82</v>
      </c>
      <c r="K170"/>
      <c r="L170" s="1">
        <f t="shared" si="2"/>
        <v>61743117.82</v>
      </c>
      <c r="N170" s="6" t="str">
        <f>IF(ISERROR(VLOOKUP($A170,'Plano de Contas'!#REF!,8,FALSE)),"",VLOOKUP($A170,'Plano de Contas'!#REF!,8,FALSE))</f>
        <v/>
      </c>
      <c r="P170" s="6" t="str">
        <f>IF(ISERROR(VLOOKUP($A170,'Plano de Contas'!#REF!,10,FALSE)),"",VLOOKUP($A170,'Plano de Contas'!#REF!,10,FALSE))</f>
        <v/>
      </c>
      <c r="R170" s="6" t="e">
        <f>VLOOKUP(A170,'Plano de Contas'!#REF!,12,FALSE)</f>
        <v>#REF!</v>
      </c>
      <c r="T170" s="6" t="e">
        <f>VLOOKUP(A170,'Plano de Contas'!#REF!,13,FALSE)</f>
        <v>#REF!</v>
      </c>
    </row>
    <row r="171" spans="1:20" s="5" customFormat="1" x14ac:dyDescent="0.25">
      <c r="A171" t="s">
        <v>372</v>
      </c>
      <c r="B171">
        <v>91</v>
      </c>
      <c r="C171" t="s">
        <v>373</v>
      </c>
      <c r="D171" s="10">
        <v>4664739.82</v>
      </c>
      <c r="E171"/>
      <c r="F171" s="10">
        <v>0</v>
      </c>
      <c r="G171"/>
      <c r="H171">
        <v>0</v>
      </c>
      <c r="I171"/>
      <c r="J171" s="10">
        <v>4664739.82</v>
      </c>
      <c r="K171"/>
      <c r="L171" s="1">
        <f t="shared" si="2"/>
        <v>4664739.82</v>
      </c>
      <c r="N171" s="6" t="str">
        <f>IF(ISERROR(VLOOKUP($A171,'Plano de Contas'!#REF!,8,FALSE)),"",VLOOKUP($A171,'Plano de Contas'!#REF!,8,FALSE))</f>
        <v/>
      </c>
      <c r="P171" s="6" t="str">
        <f>IF(ISERROR(VLOOKUP($A171,'Plano de Contas'!#REF!,10,FALSE)),"",VLOOKUP($A171,'Plano de Contas'!#REF!,10,FALSE))</f>
        <v/>
      </c>
      <c r="R171" s="6" t="e">
        <f>VLOOKUP(A171,'Plano de Contas'!#REF!,12,FALSE)</f>
        <v>#REF!</v>
      </c>
      <c r="T171" s="6" t="e">
        <f>VLOOKUP(A171,'Plano de Contas'!#REF!,13,FALSE)</f>
        <v>#REF!</v>
      </c>
    </row>
    <row r="172" spans="1:20" s="5" customFormat="1" x14ac:dyDescent="0.25">
      <c r="A172" t="s">
        <v>374</v>
      </c>
      <c r="B172">
        <v>92</v>
      </c>
      <c r="C172" t="s">
        <v>375</v>
      </c>
      <c r="D172" s="10">
        <v>57078378</v>
      </c>
      <c r="E172"/>
      <c r="F172">
        <v>0</v>
      </c>
      <c r="G172"/>
      <c r="H172">
        <v>0</v>
      </c>
      <c r="I172"/>
      <c r="J172" s="10">
        <v>57078378</v>
      </c>
      <c r="K172"/>
      <c r="L172" s="1">
        <f t="shared" si="2"/>
        <v>57078378</v>
      </c>
      <c r="N172" s="6" t="str">
        <f>IF(ISERROR(VLOOKUP($A172,'Plano de Contas'!#REF!,8,FALSE)),"",VLOOKUP($A172,'Plano de Contas'!#REF!,8,FALSE))</f>
        <v/>
      </c>
      <c r="P172" s="6" t="str">
        <f>IF(ISERROR(VLOOKUP($A172,'Plano de Contas'!#REF!,10,FALSE)),"",VLOOKUP($A172,'Plano de Contas'!#REF!,10,FALSE))</f>
        <v/>
      </c>
      <c r="R172" s="6" t="e">
        <f>VLOOKUP(A172,'Plano de Contas'!#REF!,12,FALSE)</f>
        <v>#REF!</v>
      </c>
      <c r="T172" s="6" t="e">
        <f>VLOOKUP(A172,'Plano de Contas'!#REF!,13,FALSE)</f>
        <v>#REF!</v>
      </c>
    </row>
    <row r="173" spans="1:20" s="5" customFormat="1" x14ac:dyDescent="0.25">
      <c r="A173"/>
      <c r="B173"/>
      <c r="C173"/>
      <c r="D173" s="10"/>
      <c r="E173"/>
      <c r="F173" s="10"/>
      <c r="G173"/>
      <c r="H173" s="10"/>
      <c r="I173"/>
      <c r="J173" s="10"/>
      <c r="K173"/>
      <c r="L173" s="1">
        <f t="shared" si="2"/>
        <v>0</v>
      </c>
      <c r="N173" s="6" t="str">
        <f>IF(ISERROR(VLOOKUP($A173,'Plano de Contas'!#REF!,8,FALSE)),"",VLOOKUP($A173,'Plano de Contas'!#REF!,8,FALSE))</f>
        <v/>
      </c>
      <c r="P173" s="6" t="str">
        <f>IF(ISERROR(VLOOKUP($A173,'Plano de Contas'!#REF!,10,FALSE)),"",VLOOKUP($A173,'Plano de Contas'!#REF!,10,FALSE))</f>
        <v/>
      </c>
      <c r="R173" s="6" t="e">
        <f>VLOOKUP(A173,'Plano de Contas'!#REF!,12,FALSE)</f>
        <v>#REF!</v>
      </c>
      <c r="T173" s="6" t="e">
        <f>VLOOKUP(A173,'Plano de Contas'!#REF!,13,FALSE)</f>
        <v>#REF!</v>
      </c>
    </row>
    <row r="174" spans="1:20" s="5" customFormat="1" x14ac:dyDescent="0.25">
      <c r="A174" t="s">
        <v>384</v>
      </c>
      <c r="B174">
        <v>96</v>
      </c>
      <c r="C174" t="s">
        <v>385</v>
      </c>
      <c r="D174" s="10">
        <v>1663841640.04</v>
      </c>
      <c r="E174"/>
      <c r="F174" s="10">
        <v>5176810.58</v>
      </c>
      <c r="G174"/>
      <c r="H174" s="10">
        <v>57906857.270000003</v>
      </c>
      <c r="I174" t="s">
        <v>35</v>
      </c>
      <c r="J174" s="10">
        <v>1611111593.3499999</v>
      </c>
      <c r="K174"/>
      <c r="L174" s="1">
        <f t="shared" si="2"/>
        <v>1611111593.3499999</v>
      </c>
      <c r="N174" s="6" t="str">
        <f>IF(ISERROR(VLOOKUP($A174,'Plano de Contas'!#REF!,8,FALSE)),"",VLOOKUP($A174,'Plano de Contas'!#REF!,8,FALSE))</f>
        <v/>
      </c>
      <c r="P174" s="6" t="str">
        <f>IF(ISERROR(VLOOKUP($A174,'Plano de Contas'!#REF!,10,FALSE)),"",VLOOKUP($A174,'Plano de Contas'!#REF!,10,FALSE))</f>
        <v/>
      </c>
      <c r="R174" s="6" t="e">
        <f>VLOOKUP(A174,'Plano de Contas'!#REF!,12,FALSE)</f>
        <v>#REF!</v>
      </c>
      <c r="T174" s="6" t="e">
        <f>VLOOKUP(A174,'Plano de Contas'!#REF!,13,FALSE)</f>
        <v>#REF!</v>
      </c>
    </row>
    <row r="175" spans="1:20" s="5" customFormat="1" x14ac:dyDescent="0.25">
      <c r="A175" t="s">
        <v>386</v>
      </c>
      <c r="B175">
        <v>323</v>
      </c>
      <c r="C175" t="s">
        <v>387</v>
      </c>
      <c r="D175" s="10">
        <v>1636114759.9000001</v>
      </c>
      <c r="E175"/>
      <c r="F175" s="10">
        <v>5176810.58</v>
      </c>
      <c r="G175"/>
      <c r="H175" s="10">
        <v>57906857.270000003</v>
      </c>
      <c r="I175" t="s">
        <v>35</v>
      </c>
      <c r="J175" s="10">
        <v>1583384713.21</v>
      </c>
      <c r="K175"/>
      <c r="L175" s="1">
        <f t="shared" si="2"/>
        <v>1583384713.21</v>
      </c>
      <c r="N175" s="6" t="str">
        <f>IF(ISERROR(VLOOKUP($A175,'Plano de Contas'!#REF!,8,FALSE)),"",VLOOKUP($A175,'Plano de Contas'!#REF!,8,FALSE))</f>
        <v/>
      </c>
      <c r="P175" s="6" t="str">
        <f>IF(ISERROR(VLOOKUP($A175,'Plano de Contas'!#REF!,10,FALSE)),"",VLOOKUP($A175,'Plano de Contas'!#REF!,10,FALSE))</f>
        <v/>
      </c>
      <c r="R175" s="6" t="e">
        <f>VLOOKUP(A175,'Plano de Contas'!#REF!,12,FALSE)</f>
        <v>#REF!</v>
      </c>
      <c r="T175" s="6" t="e">
        <f>VLOOKUP(A175,'Plano de Contas'!#REF!,13,FALSE)</f>
        <v>#REF!</v>
      </c>
    </row>
    <row r="176" spans="1:20" s="5" customFormat="1" x14ac:dyDescent="0.25">
      <c r="A176" t="s">
        <v>388</v>
      </c>
      <c r="B176">
        <v>324</v>
      </c>
      <c r="C176" t="s">
        <v>389</v>
      </c>
      <c r="D176" s="10">
        <v>9596917.9900000002</v>
      </c>
      <c r="E176"/>
      <c r="F176" s="10">
        <v>0</v>
      </c>
      <c r="G176"/>
      <c r="H176">
        <v>0</v>
      </c>
      <c r="I176"/>
      <c r="J176" s="10">
        <v>9596917.9900000002</v>
      </c>
      <c r="K176"/>
      <c r="L176" s="1">
        <f t="shared" si="2"/>
        <v>9596917.9900000002</v>
      </c>
      <c r="N176" s="6" t="str">
        <f>IF(ISERROR(VLOOKUP($A176,'Plano de Contas'!#REF!,8,FALSE)),"",VLOOKUP($A176,'Plano de Contas'!#REF!,8,FALSE))</f>
        <v/>
      </c>
      <c r="P176" s="6" t="str">
        <f>IF(ISERROR(VLOOKUP($A176,'Plano de Contas'!#REF!,10,FALSE)),"",VLOOKUP($A176,'Plano de Contas'!#REF!,10,FALSE))</f>
        <v/>
      </c>
      <c r="R176" s="6" t="e">
        <f>VLOOKUP(A176,'Plano de Contas'!#REF!,12,FALSE)</f>
        <v>#REF!</v>
      </c>
      <c r="T176" s="6" t="e">
        <f>VLOOKUP(A176,'Plano de Contas'!#REF!,13,FALSE)</f>
        <v>#REF!</v>
      </c>
    </row>
    <row r="177" spans="1:20" s="5" customFormat="1" x14ac:dyDescent="0.25">
      <c r="A177" t="s">
        <v>390</v>
      </c>
      <c r="B177">
        <v>638</v>
      </c>
      <c r="C177" t="s">
        <v>391</v>
      </c>
      <c r="D177" s="10">
        <v>145225.78</v>
      </c>
      <c r="E177"/>
      <c r="F177" s="10">
        <v>0</v>
      </c>
      <c r="G177"/>
      <c r="H177" s="10">
        <v>0</v>
      </c>
      <c r="I177"/>
      <c r="J177" s="10">
        <v>145225.78</v>
      </c>
      <c r="K177"/>
      <c r="L177" s="1">
        <f t="shared" si="2"/>
        <v>145225.78</v>
      </c>
      <c r="N177" s="6" t="str">
        <f>IF(ISERROR(VLOOKUP($A177,'Plano de Contas'!#REF!,8,FALSE)),"",VLOOKUP($A177,'Plano de Contas'!#REF!,8,FALSE))</f>
        <v/>
      </c>
      <c r="P177" s="6" t="str">
        <f>IF(ISERROR(VLOOKUP($A177,'Plano de Contas'!#REF!,10,FALSE)),"",VLOOKUP($A177,'Plano de Contas'!#REF!,10,FALSE))</f>
        <v/>
      </c>
      <c r="R177" s="6" t="e">
        <f>VLOOKUP(A177,'Plano de Contas'!#REF!,12,FALSE)</f>
        <v>#REF!</v>
      </c>
      <c r="T177" s="6" t="e">
        <f>VLOOKUP(A177,'Plano de Contas'!#REF!,13,FALSE)</f>
        <v>#REF!</v>
      </c>
    </row>
    <row r="178" spans="1:20" s="5" customFormat="1" x14ac:dyDescent="0.25">
      <c r="A178" t="s">
        <v>392</v>
      </c>
      <c r="B178">
        <v>639</v>
      </c>
      <c r="C178" t="s">
        <v>393</v>
      </c>
      <c r="D178" s="10">
        <v>51514.54</v>
      </c>
      <c r="E178"/>
      <c r="F178" s="10">
        <v>0</v>
      </c>
      <c r="G178"/>
      <c r="H178" s="10">
        <v>0</v>
      </c>
      <c r="I178"/>
      <c r="J178" s="10">
        <v>51514.54</v>
      </c>
      <c r="K178"/>
      <c r="L178" s="1">
        <f t="shared" si="2"/>
        <v>51514.54</v>
      </c>
      <c r="N178" s="6" t="str">
        <f>IF(ISERROR(VLOOKUP($A178,'Plano de Contas'!#REF!,8,FALSE)),"",VLOOKUP($A178,'Plano de Contas'!#REF!,8,FALSE))</f>
        <v/>
      </c>
      <c r="P178" s="6" t="str">
        <f>IF(ISERROR(VLOOKUP($A178,'Plano de Contas'!#REF!,10,FALSE)),"",VLOOKUP($A178,'Plano de Contas'!#REF!,10,FALSE))</f>
        <v/>
      </c>
      <c r="R178" s="6" t="e">
        <f>VLOOKUP(A178,'Plano de Contas'!#REF!,12,FALSE)</f>
        <v>#REF!</v>
      </c>
      <c r="T178" s="6" t="e">
        <f>VLOOKUP(A178,'Plano de Contas'!#REF!,13,FALSE)</f>
        <v>#REF!</v>
      </c>
    </row>
    <row r="179" spans="1:20" s="5" customFormat="1" x14ac:dyDescent="0.25">
      <c r="A179" t="s">
        <v>394</v>
      </c>
      <c r="B179">
        <v>642</v>
      </c>
      <c r="C179" t="s">
        <v>395</v>
      </c>
      <c r="D179" s="10">
        <v>521985.21</v>
      </c>
      <c r="E179"/>
      <c r="F179" s="10">
        <v>0</v>
      </c>
      <c r="G179"/>
      <c r="H179" s="10">
        <v>0</v>
      </c>
      <c r="I179"/>
      <c r="J179" s="10">
        <v>521985.21</v>
      </c>
      <c r="K179"/>
      <c r="L179" s="1">
        <f t="shared" si="2"/>
        <v>521985.21</v>
      </c>
      <c r="N179" s="6" t="str">
        <f>IF(ISERROR(VLOOKUP($A179,'Plano de Contas'!#REF!,8,FALSE)),"",VLOOKUP($A179,'Plano de Contas'!#REF!,8,FALSE))</f>
        <v/>
      </c>
      <c r="P179" s="6" t="str">
        <f>IF(ISERROR(VLOOKUP($A179,'Plano de Contas'!#REF!,10,FALSE)),"",VLOOKUP($A179,'Plano de Contas'!#REF!,10,FALSE))</f>
        <v/>
      </c>
      <c r="R179" s="6" t="e">
        <f>VLOOKUP(A179,'Plano de Contas'!#REF!,12,FALSE)</f>
        <v>#REF!</v>
      </c>
      <c r="T179" s="6" t="e">
        <f>VLOOKUP(A179,'Plano de Contas'!#REF!,13,FALSE)</f>
        <v>#REF!</v>
      </c>
    </row>
    <row r="180" spans="1:20" s="5" customFormat="1" x14ac:dyDescent="0.25">
      <c r="A180" t="s">
        <v>396</v>
      </c>
      <c r="B180">
        <v>643</v>
      </c>
      <c r="C180" t="s">
        <v>397</v>
      </c>
      <c r="D180" s="10">
        <v>164400.75</v>
      </c>
      <c r="E180"/>
      <c r="F180" s="10">
        <v>0</v>
      </c>
      <c r="G180"/>
      <c r="H180" s="10">
        <v>0</v>
      </c>
      <c r="I180"/>
      <c r="J180" s="10">
        <v>164400.75</v>
      </c>
      <c r="K180"/>
      <c r="L180" s="1">
        <f t="shared" si="2"/>
        <v>164400.75</v>
      </c>
      <c r="N180" s="6" t="str">
        <f>IF(ISERROR(VLOOKUP($A180,'Plano de Contas'!#REF!,8,FALSE)),"",VLOOKUP($A180,'Plano de Contas'!#REF!,8,FALSE))</f>
        <v/>
      </c>
      <c r="P180" s="6" t="str">
        <f>IF(ISERROR(VLOOKUP($A180,'Plano de Contas'!#REF!,10,FALSE)),"",VLOOKUP($A180,'Plano de Contas'!#REF!,10,FALSE))</f>
        <v/>
      </c>
      <c r="R180" s="6" t="e">
        <f>VLOOKUP(A180,'Plano de Contas'!#REF!,12,FALSE)</f>
        <v>#REF!</v>
      </c>
      <c r="T180" s="6" t="e">
        <f>VLOOKUP(A180,'Plano de Contas'!#REF!,13,FALSE)</f>
        <v>#REF!</v>
      </c>
    </row>
    <row r="181" spans="1:20" s="5" customFormat="1" x14ac:dyDescent="0.25">
      <c r="A181" t="s">
        <v>398</v>
      </c>
      <c r="B181">
        <v>644</v>
      </c>
      <c r="C181" t="s">
        <v>399</v>
      </c>
      <c r="D181" s="10">
        <v>56456.91</v>
      </c>
      <c r="E181"/>
      <c r="F181">
        <v>0</v>
      </c>
      <c r="G181"/>
      <c r="H181">
        <v>0</v>
      </c>
      <c r="I181"/>
      <c r="J181" s="10">
        <v>56456.91</v>
      </c>
      <c r="K181"/>
      <c r="L181" s="1">
        <f t="shared" si="2"/>
        <v>56456.91</v>
      </c>
      <c r="N181" s="6" t="str">
        <f>IF(ISERROR(VLOOKUP($A181,'Plano de Contas'!#REF!,8,FALSE)),"",VLOOKUP($A181,'Plano de Contas'!#REF!,8,FALSE))</f>
        <v/>
      </c>
      <c r="P181" s="6" t="str">
        <f>IF(ISERROR(VLOOKUP($A181,'Plano de Contas'!#REF!,10,FALSE)),"",VLOOKUP($A181,'Plano de Contas'!#REF!,10,FALSE))</f>
        <v/>
      </c>
      <c r="R181" s="6" t="e">
        <f>VLOOKUP(A181,'Plano de Contas'!#REF!,12,FALSE)</f>
        <v>#REF!</v>
      </c>
      <c r="T181" s="6" t="e">
        <f>VLOOKUP(A181,'Plano de Contas'!#REF!,13,FALSE)</f>
        <v>#REF!</v>
      </c>
    </row>
    <row r="182" spans="1:20" s="5" customFormat="1" x14ac:dyDescent="0.25">
      <c r="A182" t="s">
        <v>400</v>
      </c>
      <c r="B182">
        <v>645</v>
      </c>
      <c r="C182" t="s">
        <v>401</v>
      </c>
      <c r="D182" s="10">
        <v>120463.24</v>
      </c>
      <c r="E182"/>
      <c r="F182" s="10">
        <v>0</v>
      </c>
      <c r="G182"/>
      <c r="H182">
        <v>0</v>
      </c>
      <c r="I182"/>
      <c r="J182" s="10">
        <v>120463.24</v>
      </c>
      <c r="K182"/>
      <c r="L182" s="1">
        <f t="shared" si="2"/>
        <v>120463.24</v>
      </c>
      <c r="N182" s="6" t="str">
        <f>IF(ISERROR(VLOOKUP($A182,'Plano de Contas'!#REF!,8,FALSE)),"",VLOOKUP($A182,'Plano de Contas'!#REF!,8,FALSE))</f>
        <v/>
      </c>
      <c r="P182" s="6" t="str">
        <f>IF(ISERROR(VLOOKUP($A182,'Plano de Contas'!#REF!,10,FALSE)),"",VLOOKUP($A182,'Plano de Contas'!#REF!,10,FALSE))</f>
        <v/>
      </c>
      <c r="R182" s="6" t="e">
        <f>VLOOKUP(A182,'Plano de Contas'!#REF!,12,FALSE)</f>
        <v>#REF!</v>
      </c>
      <c r="T182" s="6" t="e">
        <f>VLOOKUP(A182,'Plano de Contas'!#REF!,13,FALSE)</f>
        <v>#REF!</v>
      </c>
    </row>
    <row r="183" spans="1:20" s="5" customFormat="1" x14ac:dyDescent="0.25">
      <c r="A183" t="s">
        <v>402</v>
      </c>
      <c r="B183">
        <v>646</v>
      </c>
      <c r="C183" t="s">
        <v>403</v>
      </c>
      <c r="D183" s="10">
        <v>71976.259999999995</v>
      </c>
      <c r="E183"/>
      <c r="F183">
        <v>0</v>
      </c>
      <c r="G183"/>
      <c r="H183">
        <v>0</v>
      </c>
      <c r="I183"/>
      <c r="J183" s="10">
        <v>71976.259999999995</v>
      </c>
      <c r="K183"/>
      <c r="L183" s="1">
        <f t="shared" si="2"/>
        <v>71976.259999999995</v>
      </c>
      <c r="N183" s="6" t="str">
        <f>IF(ISERROR(VLOOKUP($A183,'Plano de Contas'!#REF!,8,FALSE)),"",VLOOKUP($A183,'Plano de Contas'!#REF!,8,FALSE))</f>
        <v/>
      </c>
      <c r="P183" s="6" t="str">
        <f>IF(ISERROR(VLOOKUP($A183,'Plano de Contas'!#REF!,10,FALSE)),"",VLOOKUP($A183,'Plano de Contas'!#REF!,10,FALSE))</f>
        <v/>
      </c>
      <c r="R183" s="6" t="e">
        <f>VLOOKUP(A183,'Plano de Contas'!#REF!,12,FALSE)</f>
        <v>#REF!</v>
      </c>
      <c r="T183" s="6" t="e">
        <f>VLOOKUP(A183,'Plano de Contas'!#REF!,13,FALSE)</f>
        <v>#REF!</v>
      </c>
    </row>
    <row r="184" spans="1:20" s="5" customFormat="1" x14ac:dyDescent="0.25">
      <c r="A184" t="s">
        <v>404</v>
      </c>
      <c r="B184">
        <v>647</v>
      </c>
      <c r="C184" t="s">
        <v>405</v>
      </c>
      <c r="D184" s="10">
        <v>5400</v>
      </c>
      <c r="E184"/>
      <c r="F184">
        <v>0</v>
      </c>
      <c r="G184"/>
      <c r="H184" s="10">
        <v>0</v>
      </c>
      <c r="I184"/>
      <c r="J184" s="10">
        <v>5400</v>
      </c>
      <c r="K184"/>
      <c r="L184" s="1">
        <f t="shared" si="2"/>
        <v>5400</v>
      </c>
      <c r="N184" s="6" t="str">
        <f>IF(ISERROR(VLOOKUP($A184,'Plano de Contas'!#REF!,8,FALSE)),"",VLOOKUP($A184,'Plano de Contas'!#REF!,8,FALSE))</f>
        <v/>
      </c>
      <c r="P184" s="6" t="str">
        <f>IF(ISERROR(VLOOKUP($A184,'Plano de Contas'!#REF!,10,FALSE)),"",VLOOKUP($A184,'Plano de Contas'!#REF!,10,FALSE))</f>
        <v/>
      </c>
      <c r="R184" s="6" t="e">
        <f>VLOOKUP(A184,'Plano de Contas'!#REF!,12,FALSE)</f>
        <v>#REF!</v>
      </c>
      <c r="T184" s="6" t="e">
        <f>VLOOKUP(A184,'Plano de Contas'!#REF!,13,FALSE)</f>
        <v>#REF!</v>
      </c>
    </row>
    <row r="185" spans="1:20" s="5" customFormat="1" x14ac:dyDescent="0.25">
      <c r="A185" t="s">
        <v>406</v>
      </c>
      <c r="B185">
        <v>649</v>
      </c>
      <c r="C185" t="s">
        <v>407</v>
      </c>
      <c r="D185" s="10">
        <v>121272.5</v>
      </c>
      <c r="E185"/>
      <c r="F185" s="10">
        <v>0</v>
      </c>
      <c r="G185"/>
      <c r="H185" s="10">
        <v>0</v>
      </c>
      <c r="I185"/>
      <c r="J185" s="10">
        <v>121272.5</v>
      </c>
      <c r="K185"/>
      <c r="L185" s="1">
        <f t="shared" si="2"/>
        <v>121272.5</v>
      </c>
      <c r="N185" s="6" t="str">
        <f>IF(ISERROR(VLOOKUP($A185,'Plano de Contas'!#REF!,8,FALSE)),"",VLOOKUP($A185,'Plano de Contas'!#REF!,8,FALSE))</f>
        <v/>
      </c>
      <c r="P185" s="6" t="str">
        <f>IF(ISERROR(VLOOKUP($A185,'Plano de Contas'!#REF!,10,FALSE)),"",VLOOKUP($A185,'Plano de Contas'!#REF!,10,FALSE))</f>
        <v/>
      </c>
      <c r="R185" s="6" t="e">
        <f>VLOOKUP(A185,'Plano de Contas'!#REF!,12,FALSE)</f>
        <v>#REF!</v>
      </c>
      <c r="T185" s="6" t="e">
        <f>VLOOKUP(A185,'Plano de Contas'!#REF!,13,FALSE)</f>
        <v>#REF!</v>
      </c>
    </row>
    <row r="186" spans="1:20" s="5" customFormat="1" x14ac:dyDescent="0.25">
      <c r="A186" t="s">
        <v>408</v>
      </c>
      <c r="B186">
        <v>650</v>
      </c>
      <c r="C186" t="s">
        <v>409</v>
      </c>
      <c r="D186" s="10">
        <v>39172.18</v>
      </c>
      <c r="E186"/>
      <c r="F186" s="10">
        <v>0</v>
      </c>
      <c r="G186"/>
      <c r="H186" s="10">
        <v>0</v>
      </c>
      <c r="I186"/>
      <c r="J186" s="10">
        <v>39172.18</v>
      </c>
      <c r="K186"/>
      <c r="L186" s="1">
        <f t="shared" si="2"/>
        <v>39172.18</v>
      </c>
      <c r="N186" s="6" t="str">
        <f>IF(ISERROR(VLOOKUP($A186,'Plano de Contas'!#REF!,8,FALSE)),"",VLOOKUP($A186,'Plano de Contas'!#REF!,8,FALSE))</f>
        <v/>
      </c>
      <c r="P186" s="6" t="str">
        <f>IF(ISERROR(VLOOKUP($A186,'Plano de Contas'!#REF!,10,FALSE)),"",VLOOKUP($A186,'Plano de Contas'!#REF!,10,FALSE))</f>
        <v/>
      </c>
      <c r="R186" s="6" t="e">
        <f>VLOOKUP(A186,'Plano de Contas'!#REF!,12,FALSE)</f>
        <v>#REF!</v>
      </c>
      <c r="T186" s="6" t="e">
        <f>VLOOKUP(A186,'Plano de Contas'!#REF!,13,FALSE)</f>
        <v>#REF!</v>
      </c>
    </row>
    <row r="187" spans="1:20" s="5" customFormat="1" x14ac:dyDescent="0.25">
      <c r="A187" t="s">
        <v>410</v>
      </c>
      <c r="B187">
        <v>654</v>
      </c>
      <c r="C187" t="s">
        <v>411</v>
      </c>
      <c r="D187" s="10">
        <v>2623476.1800000002</v>
      </c>
      <c r="E187"/>
      <c r="F187">
        <v>0</v>
      </c>
      <c r="G187"/>
      <c r="H187" s="10">
        <v>0</v>
      </c>
      <c r="I187"/>
      <c r="J187" s="10">
        <v>2623476.1800000002</v>
      </c>
      <c r="K187"/>
      <c r="L187" s="1">
        <f t="shared" si="2"/>
        <v>2623476.1800000002</v>
      </c>
      <c r="N187" s="6" t="str">
        <f>IF(ISERROR(VLOOKUP($A187,'Plano de Contas'!#REF!,8,FALSE)),"",VLOOKUP($A187,'Plano de Contas'!#REF!,8,FALSE))</f>
        <v/>
      </c>
      <c r="P187" s="6" t="str">
        <f>IF(ISERROR(VLOOKUP($A187,'Plano de Contas'!#REF!,10,FALSE)),"",VLOOKUP($A187,'Plano de Contas'!#REF!,10,FALSE))</f>
        <v/>
      </c>
      <c r="R187" s="6" t="e">
        <f>VLOOKUP(A187,'Plano de Contas'!#REF!,12,FALSE)</f>
        <v>#REF!</v>
      </c>
      <c r="T187" s="6" t="e">
        <f>VLOOKUP(A187,'Plano de Contas'!#REF!,13,FALSE)</f>
        <v>#REF!</v>
      </c>
    </row>
    <row r="188" spans="1:20" s="5" customFormat="1" x14ac:dyDescent="0.25">
      <c r="A188" t="s">
        <v>412</v>
      </c>
      <c r="B188">
        <v>718</v>
      </c>
      <c r="C188" t="s">
        <v>413</v>
      </c>
      <c r="D188" s="10">
        <v>14208618.6</v>
      </c>
      <c r="E188"/>
      <c r="F188">
        <v>0</v>
      </c>
      <c r="G188"/>
      <c r="H188">
        <v>0</v>
      </c>
      <c r="I188"/>
      <c r="J188" s="10">
        <v>14208618.6</v>
      </c>
      <c r="K188"/>
      <c r="L188" s="1">
        <f t="shared" si="2"/>
        <v>14208618.6</v>
      </c>
      <c r="N188" s="6" t="str">
        <f>IF(ISERROR(VLOOKUP($A188,'Plano de Contas'!#REF!,8,FALSE)),"",VLOOKUP($A188,'Plano de Contas'!#REF!,8,FALSE))</f>
        <v/>
      </c>
      <c r="P188" s="6" t="str">
        <f>IF(ISERROR(VLOOKUP($A188,'Plano de Contas'!#REF!,10,FALSE)),"",VLOOKUP($A188,'Plano de Contas'!#REF!,10,FALSE))</f>
        <v/>
      </c>
      <c r="R188" s="6" t="e">
        <f>VLOOKUP(A188,'Plano de Contas'!#REF!,12,FALSE)</f>
        <v>#REF!</v>
      </c>
      <c r="T188" s="6" t="e">
        <f>VLOOKUP(A188,'Plano de Contas'!#REF!,13,FALSE)</f>
        <v>#REF!</v>
      </c>
    </row>
    <row r="189" spans="1:20" s="5" customFormat="1" x14ac:dyDescent="0.25">
      <c r="A189"/>
      <c r="B189"/>
      <c r="C189"/>
      <c r="D189" s="10"/>
      <c r="E189"/>
      <c r="F189"/>
      <c r="G189"/>
      <c r="H189" s="10"/>
      <c r="I189"/>
      <c r="J189" s="10"/>
      <c r="K189"/>
      <c r="L189" s="1">
        <f t="shared" si="2"/>
        <v>0</v>
      </c>
      <c r="N189" s="6" t="str">
        <f>IF(ISERROR(VLOOKUP($A189,'Plano de Contas'!#REF!,8,FALSE)),"",VLOOKUP($A189,'Plano de Contas'!#REF!,8,FALSE))</f>
        <v/>
      </c>
      <c r="P189" s="6" t="str">
        <f>IF(ISERROR(VLOOKUP($A189,'Plano de Contas'!#REF!,10,FALSE)),"",VLOOKUP($A189,'Plano de Contas'!#REF!,10,FALSE))</f>
        <v/>
      </c>
      <c r="R189" s="6" t="e">
        <f>VLOOKUP(A189,'Plano de Contas'!#REF!,12,FALSE)</f>
        <v>#REF!</v>
      </c>
      <c r="T189" s="6" t="e">
        <f>VLOOKUP(A189,'Plano de Contas'!#REF!,13,FALSE)</f>
        <v>#REF!</v>
      </c>
    </row>
    <row r="190" spans="1:20" s="5" customFormat="1" x14ac:dyDescent="0.25">
      <c r="A190" t="s">
        <v>414</v>
      </c>
      <c r="B190">
        <v>97</v>
      </c>
      <c r="C190" t="s">
        <v>415</v>
      </c>
      <c r="D190" s="10">
        <v>111903222.75</v>
      </c>
      <c r="E190" t="s">
        <v>35</v>
      </c>
      <c r="F190">
        <v>0</v>
      </c>
      <c r="G190"/>
      <c r="H190" s="10">
        <v>1636851.31</v>
      </c>
      <c r="I190" t="s">
        <v>35</v>
      </c>
      <c r="J190" s="10">
        <v>113540074.06</v>
      </c>
      <c r="K190" t="s">
        <v>35</v>
      </c>
      <c r="L190" s="1">
        <f t="shared" si="2"/>
        <v>-113540074.06</v>
      </c>
      <c r="N190" s="6" t="str">
        <f>IF(ISERROR(VLOOKUP($A190,'Plano de Contas'!#REF!,8,FALSE)),"",VLOOKUP($A190,'Plano de Contas'!#REF!,8,FALSE))</f>
        <v/>
      </c>
      <c r="P190" s="6" t="str">
        <f>IF(ISERROR(VLOOKUP($A190,'Plano de Contas'!#REF!,10,FALSE)),"",VLOOKUP($A190,'Plano de Contas'!#REF!,10,FALSE))</f>
        <v/>
      </c>
      <c r="R190" s="6" t="e">
        <f>VLOOKUP(A190,'Plano de Contas'!#REF!,12,FALSE)</f>
        <v>#REF!</v>
      </c>
      <c r="T190" s="6" t="e">
        <f>VLOOKUP(A190,'Plano de Contas'!#REF!,13,FALSE)</f>
        <v>#REF!</v>
      </c>
    </row>
    <row r="191" spans="1:20" s="5" customFormat="1" x14ac:dyDescent="0.25">
      <c r="A191" t="s">
        <v>416</v>
      </c>
      <c r="B191">
        <v>98</v>
      </c>
      <c r="C191" t="s">
        <v>417</v>
      </c>
      <c r="D191" s="10">
        <v>4633343.3499999996</v>
      </c>
      <c r="E191" t="s">
        <v>35</v>
      </c>
      <c r="F191">
        <v>0</v>
      </c>
      <c r="G191"/>
      <c r="H191" s="10">
        <v>2337.69</v>
      </c>
      <c r="I191" t="s">
        <v>35</v>
      </c>
      <c r="J191" s="10">
        <v>4635681.04</v>
      </c>
      <c r="K191" t="s">
        <v>35</v>
      </c>
      <c r="L191" s="1">
        <f t="shared" si="2"/>
        <v>-4635681.04</v>
      </c>
      <c r="N191" s="6" t="str">
        <f>IF(ISERROR(VLOOKUP($A191,'Plano de Contas'!#REF!,8,FALSE)),"",VLOOKUP($A191,'Plano de Contas'!#REF!,8,FALSE))</f>
        <v/>
      </c>
      <c r="P191" s="6" t="str">
        <f>IF(ISERROR(VLOOKUP($A191,'Plano de Contas'!#REF!,10,FALSE)),"",VLOOKUP($A191,'Plano de Contas'!#REF!,10,FALSE))</f>
        <v/>
      </c>
      <c r="R191" s="6" t="e">
        <f>VLOOKUP(A191,'Plano de Contas'!#REF!,12,FALSE)</f>
        <v>#REF!</v>
      </c>
      <c r="T191" s="6" t="e">
        <f>VLOOKUP(A191,'Plano de Contas'!#REF!,13,FALSE)</f>
        <v>#REF!</v>
      </c>
    </row>
    <row r="192" spans="1:20" s="5" customFormat="1" x14ac:dyDescent="0.25">
      <c r="A192" t="s">
        <v>418</v>
      </c>
      <c r="B192">
        <v>99</v>
      </c>
      <c r="C192" t="s">
        <v>419</v>
      </c>
      <c r="D192" s="10">
        <v>104089071.91</v>
      </c>
      <c r="E192" t="s">
        <v>35</v>
      </c>
      <c r="F192">
        <v>0</v>
      </c>
      <c r="G192"/>
      <c r="H192" s="10">
        <v>1586996.2</v>
      </c>
      <c r="I192" t="s">
        <v>35</v>
      </c>
      <c r="J192" s="10">
        <v>105676068.11</v>
      </c>
      <c r="K192" t="s">
        <v>35</v>
      </c>
      <c r="L192" s="1">
        <f t="shared" si="2"/>
        <v>-105676068.11</v>
      </c>
      <c r="N192" s="6" t="str">
        <f>IF(ISERROR(VLOOKUP($A192,'Plano de Contas'!#REF!,8,FALSE)),"",VLOOKUP($A192,'Plano de Contas'!#REF!,8,FALSE))</f>
        <v/>
      </c>
      <c r="P192" s="6" t="str">
        <f>IF(ISERROR(VLOOKUP($A192,'Plano de Contas'!#REF!,10,FALSE)),"",VLOOKUP($A192,'Plano de Contas'!#REF!,10,FALSE))</f>
        <v/>
      </c>
      <c r="R192" s="6" t="e">
        <f>VLOOKUP(A192,'Plano de Contas'!#REF!,12,FALSE)</f>
        <v>#REF!</v>
      </c>
      <c r="T192" s="6" t="e">
        <f>VLOOKUP(A192,'Plano de Contas'!#REF!,13,FALSE)</f>
        <v>#REF!</v>
      </c>
    </row>
    <row r="193" spans="1:20" s="5" customFormat="1" x14ac:dyDescent="0.25">
      <c r="A193" t="s">
        <v>420</v>
      </c>
      <c r="B193">
        <v>100</v>
      </c>
      <c r="C193" t="s">
        <v>421</v>
      </c>
      <c r="D193" s="10">
        <v>401627.43</v>
      </c>
      <c r="E193" t="s">
        <v>35</v>
      </c>
      <c r="F193">
        <v>0</v>
      </c>
      <c r="G193"/>
      <c r="H193" s="10">
        <v>7117.51</v>
      </c>
      <c r="I193" t="s">
        <v>35</v>
      </c>
      <c r="J193" s="10">
        <v>408744.94</v>
      </c>
      <c r="K193" t="s">
        <v>35</v>
      </c>
      <c r="L193" s="1">
        <f t="shared" si="2"/>
        <v>-408744.94</v>
      </c>
      <c r="N193" s="6" t="str">
        <f>IF(ISERROR(VLOOKUP($A193,'Plano de Contas'!#REF!,8,FALSE)),"",VLOOKUP($A193,'Plano de Contas'!#REF!,8,FALSE))</f>
        <v/>
      </c>
      <c r="P193" s="6" t="str">
        <f>IF(ISERROR(VLOOKUP($A193,'Plano de Contas'!#REF!,10,FALSE)),"",VLOOKUP($A193,'Plano de Contas'!#REF!,10,FALSE))</f>
        <v/>
      </c>
      <c r="R193" s="6" t="e">
        <f>VLOOKUP(A193,'Plano de Contas'!#REF!,12,FALSE)</f>
        <v>#REF!</v>
      </c>
      <c r="T193" s="6" t="e">
        <f>VLOOKUP(A193,'Plano de Contas'!#REF!,13,FALSE)</f>
        <v>#REF!</v>
      </c>
    </row>
    <row r="194" spans="1:20" s="5" customFormat="1" x14ac:dyDescent="0.25">
      <c r="A194" t="s">
        <v>422</v>
      </c>
      <c r="B194">
        <v>101</v>
      </c>
      <c r="C194" t="s">
        <v>423</v>
      </c>
      <c r="D194" s="10">
        <v>295686.71000000002</v>
      </c>
      <c r="E194" t="s">
        <v>35</v>
      </c>
      <c r="F194">
        <v>0</v>
      </c>
      <c r="G194"/>
      <c r="H194" s="10">
        <v>0</v>
      </c>
      <c r="I194"/>
      <c r="J194" s="10">
        <v>295686.71000000002</v>
      </c>
      <c r="K194" t="s">
        <v>35</v>
      </c>
      <c r="L194" s="1">
        <f t="shared" si="2"/>
        <v>-295686.71000000002</v>
      </c>
      <c r="N194" s="6" t="str">
        <f>IF(ISERROR(VLOOKUP($A194,'Plano de Contas'!#REF!,8,FALSE)),"",VLOOKUP($A194,'Plano de Contas'!#REF!,8,FALSE))</f>
        <v/>
      </c>
      <c r="P194" s="6" t="str">
        <f>IF(ISERROR(VLOOKUP($A194,'Plano de Contas'!#REF!,10,FALSE)),"",VLOOKUP($A194,'Plano de Contas'!#REF!,10,FALSE))</f>
        <v/>
      </c>
      <c r="R194" s="6" t="e">
        <f>VLOOKUP(A194,'Plano de Contas'!#REF!,12,FALSE)</f>
        <v>#REF!</v>
      </c>
      <c r="T194" s="6" t="e">
        <f>VLOOKUP(A194,'Plano de Contas'!#REF!,13,FALSE)</f>
        <v>#REF!</v>
      </c>
    </row>
    <row r="195" spans="1:20" s="5" customFormat="1" x14ac:dyDescent="0.25">
      <c r="A195" t="s">
        <v>424</v>
      </c>
      <c r="B195">
        <v>102</v>
      </c>
      <c r="C195" t="s">
        <v>425</v>
      </c>
      <c r="D195" s="10">
        <v>-2086343.45</v>
      </c>
      <c r="E195"/>
      <c r="F195">
        <v>0</v>
      </c>
      <c r="G195"/>
      <c r="H195" s="10">
        <v>-27197.7</v>
      </c>
      <c r="I195"/>
      <c r="J195" s="10">
        <v>-2113541.15</v>
      </c>
      <c r="K195"/>
      <c r="L195" s="1">
        <f t="shared" si="2"/>
        <v>-2113541.15</v>
      </c>
      <c r="N195" s="6" t="str">
        <f>IF(ISERROR(VLOOKUP($A195,'Plano de Contas'!#REF!,8,FALSE)),"",VLOOKUP($A195,'Plano de Contas'!#REF!,8,FALSE))</f>
        <v/>
      </c>
      <c r="P195" s="6" t="str">
        <f>IF(ISERROR(VLOOKUP($A195,'Plano de Contas'!#REF!,10,FALSE)),"",VLOOKUP($A195,'Plano de Contas'!#REF!,10,FALSE))</f>
        <v/>
      </c>
      <c r="R195" s="6" t="e">
        <f>VLOOKUP(A195,'Plano de Contas'!#REF!,12,FALSE)</f>
        <v>#REF!</v>
      </c>
      <c r="T195" s="6" t="e">
        <f>VLOOKUP(A195,'Plano de Contas'!#REF!,13,FALSE)</f>
        <v>#REF!</v>
      </c>
    </row>
    <row r="196" spans="1:20" s="5" customFormat="1" x14ac:dyDescent="0.25">
      <c r="A196" t="s">
        <v>426</v>
      </c>
      <c r="B196">
        <v>462</v>
      </c>
      <c r="C196" t="s">
        <v>427</v>
      </c>
      <c r="D196" s="10">
        <v>295707.88</v>
      </c>
      <c r="E196" t="s">
        <v>35</v>
      </c>
      <c r="F196">
        <v>0</v>
      </c>
      <c r="G196"/>
      <c r="H196" s="10">
        <v>10822.27</v>
      </c>
      <c r="I196" t="s">
        <v>35</v>
      </c>
      <c r="J196" s="10">
        <v>306530.15000000002</v>
      </c>
      <c r="K196" t="s">
        <v>35</v>
      </c>
      <c r="L196" s="1">
        <f t="shared" si="2"/>
        <v>-306530.15000000002</v>
      </c>
      <c r="N196" s="6" t="str">
        <f>IF(ISERROR(VLOOKUP($A196,'Plano de Contas'!#REF!,8,FALSE)),"",VLOOKUP($A196,'Plano de Contas'!#REF!,8,FALSE))</f>
        <v/>
      </c>
      <c r="P196" s="6" t="str">
        <f>IF(ISERROR(VLOOKUP($A196,'Plano de Contas'!#REF!,10,FALSE)),"",VLOOKUP($A196,'Plano de Contas'!#REF!,10,FALSE))</f>
        <v/>
      </c>
      <c r="R196" s="6" t="e">
        <f>VLOOKUP(A196,'Plano de Contas'!#REF!,12,FALSE)</f>
        <v>#REF!</v>
      </c>
      <c r="T196" s="6" t="e">
        <f>VLOOKUP(A196,'Plano de Contas'!#REF!,13,FALSE)</f>
        <v>#REF!</v>
      </c>
    </row>
    <row r="197" spans="1:20" s="5" customFormat="1" x14ac:dyDescent="0.25">
      <c r="A197" t="s">
        <v>428</v>
      </c>
      <c r="B197">
        <v>465</v>
      </c>
      <c r="C197" t="s">
        <v>429</v>
      </c>
      <c r="D197" s="10">
        <v>-101442.02</v>
      </c>
      <c r="E197"/>
      <c r="F197">
        <v>0</v>
      </c>
      <c r="G197"/>
      <c r="H197" s="10">
        <v>-2379.94</v>
      </c>
      <c r="I197"/>
      <c r="J197" s="10">
        <v>-103821.96</v>
      </c>
      <c r="K197"/>
      <c r="L197" s="1">
        <f t="shared" si="2"/>
        <v>-103821.96</v>
      </c>
      <c r="N197" s="6" t="str">
        <f>IF(ISERROR(VLOOKUP($A197,'Plano de Contas'!#REF!,8,FALSE)),"",VLOOKUP($A197,'Plano de Contas'!#REF!,8,FALSE))</f>
        <v/>
      </c>
      <c r="P197" s="6" t="str">
        <f>IF(ISERROR(VLOOKUP($A197,'Plano de Contas'!#REF!,10,FALSE)),"",VLOOKUP($A197,'Plano de Contas'!#REF!,10,FALSE))</f>
        <v/>
      </c>
      <c r="R197" s="6" t="e">
        <f>VLOOKUP(A197,'Plano de Contas'!#REF!,12,FALSE)</f>
        <v>#REF!</v>
      </c>
      <c r="T197" s="6" t="e">
        <f>VLOOKUP(A197,'Plano de Contas'!#REF!,13,FALSE)</f>
        <v>#REF!</v>
      </c>
    </row>
    <row r="198" spans="1:20" s="5" customFormat="1" x14ac:dyDescent="0.25">
      <c r="A198"/>
      <c r="B198"/>
      <c r="C198"/>
      <c r="D198" s="10"/>
      <c r="E198"/>
      <c r="F198"/>
      <c r="G198"/>
      <c r="H198" s="10"/>
      <c r="I198"/>
      <c r="J198" s="10"/>
      <c r="K198"/>
      <c r="L198" s="1">
        <f t="shared" si="2"/>
        <v>0</v>
      </c>
      <c r="N198" s="6" t="str">
        <f>IF(ISERROR(VLOOKUP($A198,'Plano de Contas'!#REF!,8,FALSE)),"",VLOOKUP($A198,'Plano de Contas'!#REF!,8,FALSE))</f>
        <v/>
      </c>
      <c r="P198" s="6" t="str">
        <f>IF(ISERROR(VLOOKUP($A198,'Plano de Contas'!#REF!,10,FALSE)),"",VLOOKUP($A198,'Plano de Contas'!#REF!,10,FALSE))</f>
        <v/>
      </c>
      <c r="R198" s="6" t="e">
        <f>VLOOKUP(A198,'Plano de Contas'!#REF!,12,FALSE)</f>
        <v>#REF!</v>
      </c>
      <c r="T198" s="6" t="e">
        <f>VLOOKUP(A198,'Plano de Contas'!#REF!,13,FALSE)</f>
        <v>#REF!</v>
      </c>
    </row>
    <row r="199" spans="1:20" s="5" customFormat="1" x14ac:dyDescent="0.25">
      <c r="A199" t="s">
        <v>434</v>
      </c>
      <c r="B199">
        <v>103</v>
      </c>
      <c r="C199" t="s">
        <v>415</v>
      </c>
      <c r="D199" s="10">
        <v>27486210.879999999</v>
      </c>
      <c r="E199" t="s">
        <v>35</v>
      </c>
      <c r="F199">
        <v>0</v>
      </c>
      <c r="G199"/>
      <c r="H199" s="10">
        <v>62692.43</v>
      </c>
      <c r="I199" t="s">
        <v>35</v>
      </c>
      <c r="J199" s="10">
        <v>27548903.309999999</v>
      </c>
      <c r="K199" t="s">
        <v>35</v>
      </c>
      <c r="L199" s="1">
        <f t="shared" si="2"/>
        <v>-27548903.309999999</v>
      </c>
      <c r="N199" s="6" t="str">
        <f>IF(ISERROR(VLOOKUP($A199,'Plano de Contas'!#REF!,8,FALSE)),"",VLOOKUP($A199,'Plano de Contas'!#REF!,8,FALSE))</f>
        <v/>
      </c>
      <c r="P199" s="6" t="str">
        <f>IF(ISERROR(VLOOKUP($A199,'Plano de Contas'!#REF!,10,FALSE)),"",VLOOKUP($A199,'Plano de Contas'!#REF!,10,FALSE))</f>
        <v/>
      </c>
      <c r="R199" s="6" t="e">
        <f>VLOOKUP(A199,'Plano de Contas'!#REF!,12,FALSE)</f>
        <v>#REF!</v>
      </c>
      <c r="T199" s="6" t="e">
        <f>VLOOKUP(A199,'Plano de Contas'!#REF!,13,FALSE)</f>
        <v>#REF!</v>
      </c>
    </row>
    <row r="200" spans="1:20" s="5" customFormat="1" x14ac:dyDescent="0.25">
      <c r="A200" t="s">
        <v>435</v>
      </c>
      <c r="B200">
        <v>104</v>
      </c>
      <c r="C200" t="s">
        <v>436</v>
      </c>
      <c r="D200" s="10">
        <v>4653551.67</v>
      </c>
      <c r="E200" t="s">
        <v>35</v>
      </c>
      <c r="F200">
        <v>0</v>
      </c>
      <c r="G200"/>
      <c r="H200" s="10">
        <v>6061.07</v>
      </c>
      <c r="I200" t="s">
        <v>35</v>
      </c>
      <c r="J200" s="10">
        <v>4659612.74</v>
      </c>
      <c r="K200" t="s">
        <v>35</v>
      </c>
      <c r="L200" s="1">
        <f t="shared" ref="L200:L263" si="3">IF(K200="-",-J200,J200)</f>
        <v>-4659612.74</v>
      </c>
      <c r="N200" s="6" t="str">
        <f>IF(ISERROR(VLOOKUP($A200,'Plano de Contas'!#REF!,8,FALSE)),"",VLOOKUP($A200,'Plano de Contas'!#REF!,8,FALSE))</f>
        <v/>
      </c>
      <c r="P200" s="6" t="str">
        <f>IF(ISERROR(VLOOKUP($A200,'Plano de Contas'!#REF!,10,FALSE)),"",VLOOKUP($A200,'Plano de Contas'!#REF!,10,FALSE))</f>
        <v/>
      </c>
      <c r="R200" s="6" t="e">
        <f>VLOOKUP(A200,'Plano de Contas'!#REF!,12,FALSE)</f>
        <v>#REF!</v>
      </c>
      <c r="T200" s="6" t="e">
        <f>VLOOKUP(A200,'Plano de Contas'!#REF!,13,FALSE)</f>
        <v>#REF!</v>
      </c>
    </row>
    <row r="201" spans="1:20" s="5" customFormat="1" x14ac:dyDescent="0.25">
      <c r="A201" t="s">
        <v>437</v>
      </c>
      <c r="B201">
        <v>105</v>
      </c>
      <c r="C201" t="s">
        <v>438</v>
      </c>
      <c r="D201" s="10">
        <v>22832659.210000001</v>
      </c>
      <c r="E201" t="s">
        <v>35</v>
      </c>
      <c r="F201">
        <v>0</v>
      </c>
      <c r="G201"/>
      <c r="H201" s="10">
        <v>56631.360000000001</v>
      </c>
      <c r="I201" t="s">
        <v>35</v>
      </c>
      <c r="J201" s="10">
        <v>22889290.57</v>
      </c>
      <c r="K201" t="s">
        <v>35</v>
      </c>
      <c r="L201" s="1">
        <f t="shared" si="3"/>
        <v>-22889290.57</v>
      </c>
      <c r="N201" s="6" t="str">
        <f>IF(ISERROR(VLOOKUP($A201,'Plano de Contas'!#REF!,8,FALSE)),"",VLOOKUP($A201,'Plano de Contas'!#REF!,8,FALSE))</f>
        <v/>
      </c>
      <c r="P201" s="6" t="str">
        <f>IF(ISERROR(VLOOKUP($A201,'Plano de Contas'!#REF!,10,FALSE)),"",VLOOKUP($A201,'Plano de Contas'!#REF!,10,FALSE))</f>
        <v/>
      </c>
      <c r="R201" s="6" t="e">
        <f>VLOOKUP(A201,'Plano de Contas'!#REF!,12,FALSE)</f>
        <v>#REF!</v>
      </c>
      <c r="T201" s="6" t="e">
        <f>VLOOKUP(A201,'Plano de Contas'!#REF!,13,FALSE)</f>
        <v>#REF!</v>
      </c>
    </row>
    <row r="202" spans="1:20" s="5" customFormat="1" x14ac:dyDescent="0.25">
      <c r="A202"/>
      <c r="B202"/>
      <c r="C202"/>
      <c r="D202" s="10"/>
      <c r="E202"/>
      <c r="F202"/>
      <c r="G202"/>
      <c r="H202" s="10"/>
      <c r="I202"/>
      <c r="J202" s="10"/>
      <c r="K202"/>
      <c r="L202" s="1">
        <f t="shared" si="3"/>
        <v>0</v>
      </c>
      <c r="N202" s="6" t="str">
        <f>IF(ISERROR(VLOOKUP($A202,'Plano de Contas'!#REF!,8,FALSE)),"",VLOOKUP($A202,'Plano de Contas'!#REF!,8,FALSE))</f>
        <v/>
      </c>
      <c r="P202" s="6" t="str">
        <f>IF(ISERROR(VLOOKUP($A202,'Plano de Contas'!#REF!,10,FALSE)),"",VLOOKUP($A202,'Plano de Contas'!#REF!,10,FALSE))</f>
        <v/>
      </c>
      <c r="R202" s="6" t="e">
        <f>VLOOKUP(A202,'Plano de Contas'!#REF!,12,FALSE)</f>
        <v>#REF!</v>
      </c>
      <c r="T202" s="6" t="e">
        <f>VLOOKUP(A202,'Plano de Contas'!#REF!,13,FALSE)</f>
        <v>#REF!</v>
      </c>
    </row>
    <row r="203" spans="1:20" s="5" customFormat="1" x14ac:dyDescent="0.25">
      <c r="A203" t="s">
        <v>1022</v>
      </c>
      <c r="B203">
        <v>996</v>
      </c>
      <c r="C203" t="s">
        <v>1023</v>
      </c>
      <c r="D203" s="10">
        <v>2172811479.2399998</v>
      </c>
      <c r="E203"/>
      <c r="F203">
        <v>0</v>
      </c>
      <c r="G203"/>
      <c r="H203" s="10">
        <v>0</v>
      </c>
      <c r="I203"/>
      <c r="J203" s="10">
        <v>2172811479.2399998</v>
      </c>
      <c r="K203"/>
      <c r="L203" s="1">
        <f t="shared" si="3"/>
        <v>2172811479.2399998</v>
      </c>
      <c r="N203" s="6" t="str">
        <f>IF(ISERROR(VLOOKUP($A203,'Plano de Contas'!#REF!,8,FALSE)),"",VLOOKUP($A203,'Plano de Contas'!#REF!,8,FALSE))</f>
        <v/>
      </c>
      <c r="P203" s="6" t="str">
        <f>IF(ISERROR(VLOOKUP($A203,'Plano de Contas'!#REF!,10,FALSE)),"",VLOOKUP($A203,'Plano de Contas'!#REF!,10,FALSE))</f>
        <v/>
      </c>
      <c r="R203" s="6" t="e">
        <f>VLOOKUP(A203,'Plano de Contas'!#REF!,12,FALSE)</f>
        <v>#REF!</v>
      </c>
      <c r="T203" s="6" t="e">
        <f>VLOOKUP(A203,'Plano de Contas'!#REF!,13,FALSE)</f>
        <v>#REF!</v>
      </c>
    </row>
    <row r="204" spans="1:20" s="5" customFormat="1" x14ac:dyDescent="0.25">
      <c r="A204" t="s">
        <v>1024</v>
      </c>
      <c r="B204">
        <v>997</v>
      </c>
      <c r="C204" t="s">
        <v>1167</v>
      </c>
      <c r="D204" s="10" t="s">
        <v>1168</v>
      </c>
      <c r="E204"/>
      <c r="F204">
        <v>0</v>
      </c>
      <c r="G204"/>
      <c r="H204" s="10">
        <v>0</v>
      </c>
      <c r="I204">
        <v>1</v>
      </c>
      <c r="J204" s="10">
        <v>1621072052.5899999</v>
      </c>
      <c r="K204"/>
      <c r="L204" s="1">
        <f t="shared" si="3"/>
        <v>1621072052.5899999</v>
      </c>
      <c r="N204" s="6" t="str">
        <f>IF(ISERROR(VLOOKUP($A204,'Plano de Contas'!#REF!,8,FALSE)),"",VLOOKUP($A204,'Plano de Contas'!#REF!,8,FALSE))</f>
        <v/>
      </c>
      <c r="P204" s="6" t="str">
        <f>IF(ISERROR(VLOOKUP($A204,'Plano de Contas'!#REF!,10,FALSE)),"",VLOOKUP($A204,'Plano de Contas'!#REF!,10,FALSE))</f>
        <v/>
      </c>
      <c r="R204" s="6" t="e">
        <f>VLOOKUP(A204,'Plano de Contas'!#REF!,12,FALSE)</f>
        <v>#REF!</v>
      </c>
      <c r="T204" s="6" t="e">
        <f>VLOOKUP(A204,'Plano de Contas'!#REF!,13,FALSE)</f>
        <v>#REF!</v>
      </c>
    </row>
    <row r="205" spans="1:20" s="5" customFormat="1" x14ac:dyDescent="0.25">
      <c r="A205" t="s">
        <v>1026</v>
      </c>
      <c r="B205">
        <v>998</v>
      </c>
      <c r="C205" t="s">
        <v>1027</v>
      </c>
      <c r="D205" s="10">
        <v>10855371.869999999</v>
      </c>
      <c r="E205"/>
      <c r="F205">
        <v>0</v>
      </c>
      <c r="G205"/>
      <c r="H205">
        <v>0</v>
      </c>
      <c r="I205"/>
      <c r="J205" s="10">
        <v>10855371.869999999</v>
      </c>
      <c r="K205"/>
      <c r="L205" s="1">
        <f t="shared" si="3"/>
        <v>10855371.869999999</v>
      </c>
      <c r="N205" s="6" t="str">
        <f>IF(ISERROR(VLOOKUP($A205,'Plano de Contas'!#REF!,8,FALSE)),"",VLOOKUP($A205,'Plano de Contas'!#REF!,8,FALSE))</f>
        <v/>
      </c>
      <c r="P205" s="6" t="str">
        <f>IF(ISERROR(VLOOKUP($A205,'Plano de Contas'!#REF!,10,FALSE)),"",VLOOKUP($A205,'Plano de Contas'!#REF!,10,FALSE))</f>
        <v/>
      </c>
      <c r="R205" s="6" t="e">
        <f>VLOOKUP(A205,'Plano de Contas'!#REF!,12,FALSE)</f>
        <v>#REF!</v>
      </c>
      <c r="T205" s="6" t="e">
        <f>VLOOKUP(A205,'Plano de Contas'!#REF!,13,FALSE)</f>
        <v>#REF!</v>
      </c>
    </row>
    <row r="206" spans="1:20" s="5" customFormat="1" x14ac:dyDescent="0.25">
      <c r="A206" t="s">
        <v>1028</v>
      </c>
      <c r="B206">
        <v>1006</v>
      </c>
      <c r="C206" t="s">
        <v>1029</v>
      </c>
      <c r="D206" s="10">
        <v>7607.57</v>
      </c>
      <c r="E206"/>
      <c r="F206">
        <v>0</v>
      </c>
      <c r="G206"/>
      <c r="H206" s="10">
        <v>0</v>
      </c>
      <c r="I206"/>
      <c r="J206" s="10">
        <v>7607.57</v>
      </c>
      <c r="K206"/>
      <c r="L206" s="1">
        <f t="shared" si="3"/>
        <v>7607.57</v>
      </c>
      <c r="N206" s="6" t="str">
        <f>IF(ISERROR(VLOOKUP($A206,'Plano de Contas'!#REF!,8,FALSE)),"",VLOOKUP($A206,'Plano de Contas'!#REF!,8,FALSE))</f>
        <v/>
      </c>
      <c r="P206" s="6" t="str">
        <f>IF(ISERROR(VLOOKUP($A206,'Plano de Contas'!#REF!,10,FALSE)),"",VLOOKUP($A206,'Plano de Contas'!#REF!,10,FALSE))</f>
        <v/>
      </c>
      <c r="R206" s="6" t="e">
        <f>VLOOKUP(A206,'Plano de Contas'!#REF!,12,FALSE)</f>
        <v>#REF!</v>
      </c>
      <c r="T206" s="6" t="e">
        <f>VLOOKUP(A206,'Plano de Contas'!#REF!,13,FALSE)</f>
        <v>#REF!</v>
      </c>
    </row>
    <row r="207" spans="1:20" s="5" customFormat="1" x14ac:dyDescent="0.25">
      <c r="A207" t="s">
        <v>1030</v>
      </c>
      <c r="B207">
        <v>1013</v>
      </c>
      <c r="C207" t="s">
        <v>1031</v>
      </c>
      <c r="D207" s="10">
        <v>2314875.4900000002</v>
      </c>
      <c r="E207"/>
      <c r="F207" s="10">
        <v>0</v>
      </c>
      <c r="G207"/>
      <c r="H207" s="10">
        <v>0</v>
      </c>
      <c r="I207"/>
      <c r="J207" s="10">
        <v>2314875.4900000002</v>
      </c>
      <c r="K207"/>
      <c r="L207" s="1">
        <f t="shared" si="3"/>
        <v>2314875.4900000002</v>
      </c>
      <c r="N207" s="6" t="str">
        <f>IF(ISERROR(VLOOKUP($A207,'Plano de Contas'!#REF!,8,FALSE)),"",VLOOKUP($A207,'Plano de Contas'!#REF!,8,FALSE))</f>
        <v/>
      </c>
      <c r="P207" s="6" t="str">
        <f>IF(ISERROR(VLOOKUP($A207,'Plano de Contas'!#REF!,10,FALSE)),"",VLOOKUP($A207,'Plano de Contas'!#REF!,10,FALSE))</f>
        <v/>
      </c>
      <c r="R207" s="6" t="e">
        <f>VLOOKUP(A207,'Plano de Contas'!#REF!,12,FALSE)</f>
        <v>#REF!</v>
      </c>
      <c r="T207" s="6" t="e">
        <f>VLOOKUP(A207,'Plano de Contas'!#REF!,13,FALSE)</f>
        <v>#REF!</v>
      </c>
    </row>
    <row r="208" spans="1:20" s="5" customFormat="1" x14ac:dyDescent="0.25">
      <c r="A208" t="s">
        <v>1032</v>
      </c>
      <c r="B208">
        <v>1015</v>
      </c>
      <c r="C208" t="s">
        <v>1033</v>
      </c>
      <c r="D208" s="10">
        <v>259643.58</v>
      </c>
      <c r="E208"/>
      <c r="F208" s="10">
        <v>0</v>
      </c>
      <c r="G208"/>
      <c r="H208" s="10">
        <v>0</v>
      </c>
      <c r="I208"/>
      <c r="J208" s="10">
        <v>259643.58</v>
      </c>
      <c r="K208"/>
      <c r="L208" s="1">
        <f t="shared" si="3"/>
        <v>259643.58</v>
      </c>
      <c r="N208" s="6" t="str">
        <f>IF(ISERROR(VLOOKUP($A208,'Plano de Contas'!#REF!,8,FALSE)),"",VLOOKUP($A208,'Plano de Contas'!#REF!,8,FALSE))</f>
        <v/>
      </c>
      <c r="P208" s="6" t="str">
        <f>IF(ISERROR(VLOOKUP($A208,'Plano de Contas'!#REF!,10,FALSE)),"",VLOOKUP($A208,'Plano de Contas'!#REF!,10,FALSE))</f>
        <v/>
      </c>
      <c r="R208" s="6" t="e">
        <f>VLOOKUP(A208,'Plano de Contas'!#REF!,12,FALSE)</f>
        <v>#REF!</v>
      </c>
      <c r="T208" s="6" t="e">
        <f>VLOOKUP(A208,'Plano de Contas'!#REF!,13,FALSE)</f>
        <v>#REF!</v>
      </c>
    </row>
    <row r="209" spans="1:20" s="5" customFormat="1" x14ac:dyDescent="0.25">
      <c r="A209" t="s">
        <v>1034</v>
      </c>
      <c r="B209">
        <v>1017</v>
      </c>
      <c r="C209" t="s">
        <v>1035</v>
      </c>
      <c r="D209" s="10">
        <v>39950.959999999999</v>
      </c>
      <c r="E209"/>
      <c r="F209" s="10">
        <v>0</v>
      </c>
      <c r="G209"/>
      <c r="H209" s="10">
        <v>0</v>
      </c>
      <c r="I209"/>
      <c r="J209" s="10">
        <v>39950.959999999999</v>
      </c>
      <c r="K209"/>
      <c r="L209" s="1">
        <f t="shared" si="3"/>
        <v>39950.959999999999</v>
      </c>
      <c r="N209" s="6" t="str">
        <f>IF(ISERROR(VLOOKUP($A209,'Plano de Contas'!#REF!,8,FALSE)),"",VLOOKUP($A209,'Plano de Contas'!#REF!,8,FALSE))</f>
        <v/>
      </c>
      <c r="P209" s="6" t="str">
        <f>IF(ISERROR(VLOOKUP($A209,'Plano de Contas'!#REF!,10,FALSE)),"",VLOOKUP($A209,'Plano de Contas'!#REF!,10,FALSE))</f>
        <v/>
      </c>
      <c r="R209" s="6" t="e">
        <f>VLOOKUP(A209,'Plano de Contas'!#REF!,12,FALSE)</f>
        <v>#REF!</v>
      </c>
      <c r="T209" s="6" t="e">
        <f>VLOOKUP(A209,'Plano de Contas'!#REF!,13,FALSE)</f>
        <v>#REF!</v>
      </c>
    </row>
    <row r="210" spans="1:20" s="5" customFormat="1" x14ac:dyDescent="0.25">
      <c r="A210" t="s">
        <v>1036</v>
      </c>
      <c r="B210">
        <v>1018</v>
      </c>
      <c r="C210" t="s">
        <v>1037</v>
      </c>
      <c r="D210" s="10">
        <v>1941082.32</v>
      </c>
      <c r="E210"/>
      <c r="F210" s="10">
        <v>0</v>
      </c>
      <c r="G210"/>
      <c r="H210" s="10">
        <v>0</v>
      </c>
      <c r="I210"/>
      <c r="J210" s="10">
        <v>1941082.32</v>
      </c>
      <c r="K210"/>
      <c r="L210" s="62">
        <f t="shared" si="3"/>
        <v>1941082.32</v>
      </c>
      <c r="N210" s="6" t="str">
        <f>IF(ISERROR(VLOOKUP($A210,'Plano de Contas'!#REF!,8,FALSE)),"",VLOOKUP($A210,'Plano de Contas'!#REF!,8,FALSE))</f>
        <v/>
      </c>
      <c r="P210" s="6" t="str">
        <f>IF(ISERROR(VLOOKUP($A210,'Plano de Contas'!#REF!,10,FALSE)),"",VLOOKUP($A210,'Plano de Contas'!#REF!,10,FALSE))</f>
        <v/>
      </c>
      <c r="R210" s="6" t="e">
        <f>VLOOKUP(A210,'Plano de Contas'!#REF!,12,FALSE)</f>
        <v>#REF!</v>
      </c>
      <c r="T210" s="6" t="e">
        <f>VLOOKUP(A210,'Plano de Contas'!#REF!,13,FALSE)</f>
        <v>#REF!</v>
      </c>
    </row>
    <row r="211" spans="1:20" s="5" customFormat="1" x14ac:dyDescent="0.25">
      <c r="A211" t="s">
        <v>1038</v>
      </c>
      <c r="B211">
        <v>1020</v>
      </c>
      <c r="C211" t="s">
        <v>1039</v>
      </c>
      <c r="D211" s="10">
        <v>12618172.24</v>
      </c>
      <c r="E211"/>
      <c r="F211">
        <v>0</v>
      </c>
      <c r="G211"/>
      <c r="H211" s="10">
        <v>0</v>
      </c>
      <c r="I211"/>
      <c r="J211" s="10">
        <v>12618172.24</v>
      </c>
      <c r="K211"/>
      <c r="L211" s="1">
        <f t="shared" si="3"/>
        <v>12618172.24</v>
      </c>
      <c r="N211" s="6" t="str">
        <f>IF(ISERROR(VLOOKUP($A211,'Plano de Contas'!#REF!,8,FALSE)),"",VLOOKUP($A211,'Plano de Contas'!#REF!,8,FALSE))</f>
        <v/>
      </c>
      <c r="P211" s="6" t="str">
        <f>IF(ISERROR(VLOOKUP($A211,'Plano de Contas'!#REF!,10,FALSE)),"",VLOOKUP($A211,'Plano de Contas'!#REF!,10,FALSE))</f>
        <v/>
      </c>
      <c r="R211" s="6" t="e">
        <f>VLOOKUP(A211,'Plano de Contas'!#REF!,12,FALSE)</f>
        <v>#REF!</v>
      </c>
      <c r="T211" s="6" t="e">
        <f>VLOOKUP(A211,'Plano de Contas'!#REF!,13,FALSE)</f>
        <v>#REF!</v>
      </c>
    </row>
    <row r="212" spans="1:20" s="5" customFormat="1" x14ac:dyDescent="0.25">
      <c r="A212" t="s">
        <v>1046</v>
      </c>
      <c r="B212">
        <v>1044</v>
      </c>
      <c r="C212" t="s">
        <v>1047</v>
      </c>
      <c r="D212" s="10">
        <v>523702722.62</v>
      </c>
      <c r="E212"/>
      <c r="F212">
        <v>0</v>
      </c>
      <c r="G212"/>
      <c r="H212" s="10">
        <v>0</v>
      </c>
      <c r="I212"/>
      <c r="J212" s="10">
        <v>523702722.62</v>
      </c>
      <c r="K212"/>
      <c r="L212" s="1">
        <f t="shared" si="3"/>
        <v>523702722.62</v>
      </c>
      <c r="N212" s="6" t="str">
        <f>IF(ISERROR(VLOOKUP($A212,'Plano de Contas'!#REF!,8,FALSE)),"",VLOOKUP($A212,'Plano de Contas'!#REF!,8,FALSE))</f>
        <v/>
      </c>
      <c r="P212" s="6" t="str">
        <f>IF(ISERROR(VLOOKUP($A212,'Plano de Contas'!#REF!,10,FALSE)),"",VLOOKUP($A212,'Plano de Contas'!#REF!,10,FALSE))</f>
        <v/>
      </c>
      <c r="R212" s="6" t="e">
        <f>VLOOKUP(A212,'Plano de Contas'!#REF!,12,FALSE)</f>
        <v>#REF!</v>
      </c>
      <c r="T212" s="6" t="e">
        <f>VLOOKUP(A212,'Plano de Contas'!#REF!,13,FALSE)</f>
        <v>#REF!</v>
      </c>
    </row>
    <row r="213" spans="1:20" s="5" customFormat="1" x14ac:dyDescent="0.25">
      <c r="A213"/>
      <c r="B213"/>
      <c r="C213"/>
      <c r="D213" s="10"/>
      <c r="E213"/>
      <c r="F213"/>
      <c r="G213"/>
      <c r="H213" s="10"/>
      <c r="I213"/>
      <c r="J213" s="10"/>
      <c r="K213"/>
      <c r="L213" s="1">
        <f t="shared" si="3"/>
        <v>0</v>
      </c>
      <c r="N213" s="6" t="str">
        <f>IF(ISERROR(VLOOKUP($A213,'Plano de Contas'!#REF!,8,FALSE)),"",VLOOKUP($A213,'Plano de Contas'!#REF!,8,FALSE))</f>
        <v/>
      </c>
      <c r="P213" s="6" t="str">
        <f>IF(ISERROR(VLOOKUP($A213,'Plano de Contas'!#REF!,10,FALSE)),"",VLOOKUP($A213,'Plano de Contas'!#REF!,10,FALSE))</f>
        <v/>
      </c>
      <c r="R213" s="6" t="e">
        <f>VLOOKUP(A213,'Plano de Contas'!#REF!,12,FALSE)</f>
        <v>#REF!</v>
      </c>
      <c r="T213" s="6" t="e">
        <f>VLOOKUP(A213,'Plano de Contas'!#REF!,13,FALSE)</f>
        <v>#REF!</v>
      </c>
    </row>
    <row r="214" spans="1:20" s="5" customFormat="1" x14ac:dyDescent="0.25">
      <c r="A214" t="s">
        <v>1169</v>
      </c>
      <c r="B214">
        <v>1051</v>
      </c>
      <c r="C214" t="s">
        <v>1170</v>
      </c>
      <c r="D214" s="10">
        <v>8768555.5099999998</v>
      </c>
      <c r="E214" t="s">
        <v>35</v>
      </c>
      <c r="F214">
        <v>0</v>
      </c>
      <c r="G214"/>
      <c r="H214" s="10">
        <v>797141.41</v>
      </c>
      <c r="I214" t="s">
        <v>35</v>
      </c>
      <c r="J214" s="10">
        <v>9565696.9199999999</v>
      </c>
      <c r="K214" t="s">
        <v>35</v>
      </c>
      <c r="L214" s="1">
        <f t="shared" si="3"/>
        <v>-9565696.9199999999</v>
      </c>
      <c r="N214" s="6" t="str">
        <f>IF(ISERROR(VLOOKUP($A214,'Plano de Contas'!#REF!,8,FALSE)),"",VLOOKUP($A214,'Plano de Contas'!#REF!,8,FALSE))</f>
        <v/>
      </c>
      <c r="P214" s="6" t="str">
        <f>IF(ISERROR(VLOOKUP($A214,'Plano de Contas'!#REF!,10,FALSE)),"",VLOOKUP($A214,'Plano de Contas'!#REF!,10,FALSE))</f>
        <v/>
      </c>
      <c r="R214" s="6" t="e">
        <f>VLOOKUP(A214,'Plano de Contas'!#REF!,12,FALSE)</f>
        <v>#REF!</v>
      </c>
      <c r="T214" s="6" t="e">
        <f>VLOOKUP(A214,'Plano de Contas'!#REF!,13,FALSE)</f>
        <v>#REF!</v>
      </c>
    </row>
    <row r="215" spans="1:20" s="5" customFormat="1" x14ac:dyDescent="0.25">
      <c r="A215" t="s">
        <v>1171</v>
      </c>
      <c r="B215">
        <v>1053</v>
      </c>
      <c r="C215" t="s">
        <v>1172</v>
      </c>
      <c r="D215" s="10">
        <v>-199030.48</v>
      </c>
      <c r="E215"/>
      <c r="F215">
        <v>0</v>
      </c>
      <c r="G215"/>
      <c r="H215" s="10">
        <v>-18093.68</v>
      </c>
      <c r="I215"/>
      <c r="J215" s="10">
        <v>-217124.16</v>
      </c>
      <c r="K215"/>
      <c r="L215" s="1">
        <f t="shared" si="3"/>
        <v>-217124.16</v>
      </c>
      <c r="N215" s="6" t="str">
        <f>IF(ISERROR(VLOOKUP($A215,'Plano de Contas'!#REF!,8,FALSE)),"",VLOOKUP($A215,'Plano de Contas'!#REF!,8,FALSE))</f>
        <v/>
      </c>
      <c r="P215" s="6" t="str">
        <f>IF(ISERROR(VLOOKUP($A215,'Plano de Contas'!#REF!,10,FALSE)),"",VLOOKUP($A215,'Plano de Contas'!#REF!,10,FALSE))</f>
        <v/>
      </c>
      <c r="R215" s="6" t="e">
        <f>VLOOKUP(A215,'Plano de Contas'!#REF!,12,FALSE)</f>
        <v>#REF!</v>
      </c>
      <c r="T215" s="6" t="e">
        <f>VLOOKUP(A215,'Plano de Contas'!#REF!,13,FALSE)</f>
        <v>#REF!</v>
      </c>
    </row>
    <row r="216" spans="1:20" s="5" customFormat="1" x14ac:dyDescent="0.25">
      <c r="A216" t="s">
        <v>1173</v>
      </c>
      <c r="B216">
        <v>1054</v>
      </c>
      <c r="C216" t="s">
        <v>1174</v>
      </c>
      <c r="D216" s="10">
        <v>278.95999999999998</v>
      </c>
      <c r="E216" t="s">
        <v>35</v>
      </c>
      <c r="F216">
        <v>0</v>
      </c>
      <c r="G216"/>
      <c r="H216" s="10">
        <v>25.36</v>
      </c>
      <c r="I216" t="s">
        <v>35</v>
      </c>
      <c r="J216" s="10">
        <v>304.32</v>
      </c>
      <c r="K216" t="s">
        <v>35</v>
      </c>
      <c r="L216" s="1">
        <f t="shared" si="3"/>
        <v>-304.32</v>
      </c>
      <c r="N216" s="6" t="str">
        <f>IF(ISERROR(VLOOKUP($A216,'Plano de Contas'!#REF!,8,FALSE)),"",VLOOKUP($A216,'Plano de Contas'!#REF!,8,FALSE))</f>
        <v/>
      </c>
      <c r="P216" s="6" t="str">
        <f>IF(ISERROR(VLOOKUP($A216,'Plano de Contas'!#REF!,10,FALSE)),"",VLOOKUP($A216,'Plano de Contas'!#REF!,10,FALSE))</f>
        <v/>
      </c>
      <c r="R216" s="6" t="e">
        <f>VLOOKUP(A216,'Plano de Contas'!#REF!,12,FALSE)</f>
        <v>#REF!</v>
      </c>
      <c r="T216" s="6" t="e">
        <f>VLOOKUP(A216,'Plano de Contas'!#REF!,13,FALSE)</f>
        <v>#REF!</v>
      </c>
    </row>
    <row r="217" spans="1:20" s="5" customFormat="1" x14ac:dyDescent="0.25">
      <c r="A217" t="s">
        <v>1175</v>
      </c>
      <c r="B217">
        <v>1055</v>
      </c>
      <c r="C217" t="s">
        <v>1176</v>
      </c>
      <c r="D217" s="10">
        <v>35436.94</v>
      </c>
      <c r="E217" t="s">
        <v>35</v>
      </c>
      <c r="F217">
        <v>0</v>
      </c>
      <c r="G217"/>
      <c r="H217" s="10">
        <v>3221.54</v>
      </c>
      <c r="I217" t="s">
        <v>35</v>
      </c>
      <c r="J217" s="10">
        <v>38658.480000000003</v>
      </c>
      <c r="K217" t="s">
        <v>35</v>
      </c>
      <c r="L217" s="1">
        <f t="shared" si="3"/>
        <v>-38658.480000000003</v>
      </c>
      <c r="N217" s="6" t="str">
        <f>IF(ISERROR(VLOOKUP($A217,'Plano de Contas'!#REF!,8,FALSE)),"",VLOOKUP($A217,'Plano de Contas'!#REF!,8,FALSE))</f>
        <v/>
      </c>
      <c r="P217" s="6" t="str">
        <f>IF(ISERROR(VLOOKUP($A217,'Plano de Contas'!#REF!,10,FALSE)),"",VLOOKUP($A217,'Plano de Contas'!#REF!,10,FALSE))</f>
        <v/>
      </c>
      <c r="R217" s="6" t="e">
        <f>VLOOKUP(A217,'Plano de Contas'!#REF!,12,FALSE)</f>
        <v>#REF!</v>
      </c>
      <c r="T217" s="6" t="e">
        <f>VLOOKUP(A217,'Plano de Contas'!#REF!,13,FALSE)</f>
        <v>#REF!</v>
      </c>
    </row>
    <row r="218" spans="1:20" s="5" customFormat="1" x14ac:dyDescent="0.25">
      <c r="A218" t="s">
        <v>1177</v>
      </c>
      <c r="B218">
        <v>1056</v>
      </c>
      <c r="C218" t="s">
        <v>1178</v>
      </c>
      <c r="D218" s="10">
        <v>23800.7</v>
      </c>
      <c r="E218" t="s">
        <v>35</v>
      </c>
      <c r="F218">
        <v>0</v>
      </c>
      <c r="G218"/>
      <c r="H218" s="10">
        <v>2163.6999999999998</v>
      </c>
      <c r="I218" t="s">
        <v>35</v>
      </c>
      <c r="J218" s="10">
        <v>25964.400000000001</v>
      </c>
      <c r="K218" t="s">
        <v>35</v>
      </c>
      <c r="L218" s="1">
        <f t="shared" si="3"/>
        <v>-25964.400000000001</v>
      </c>
      <c r="N218" s="6" t="str">
        <f>IF(ISERROR(VLOOKUP($A218,'Plano de Contas'!#REF!,8,FALSE)),"",VLOOKUP($A218,'Plano de Contas'!#REF!,8,FALSE))</f>
        <v/>
      </c>
      <c r="P218" s="6" t="str">
        <f>IF(ISERROR(VLOOKUP($A218,'Plano de Contas'!#REF!,10,FALSE)),"",VLOOKUP($A218,'Plano de Contas'!#REF!,10,FALSE))</f>
        <v/>
      </c>
      <c r="R218" s="6" t="e">
        <f>VLOOKUP(A218,'Plano de Contas'!#REF!,12,FALSE)</f>
        <v>#REF!</v>
      </c>
      <c r="T218" s="6" t="e">
        <f>VLOOKUP(A218,'Plano de Contas'!#REF!,13,FALSE)</f>
        <v>#REF!</v>
      </c>
    </row>
    <row r="219" spans="1:20" s="5" customFormat="1" x14ac:dyDescent="0.25">
      <c r="A219" t="s">
        <v>1179</v>
      </c>
      <c r="B219">
        <v>1057</v>
      </c>
      <c r="C219" t="s">
        <v>1180</v>
      </c>
      <c r="D219" s="10">
        <v>-611.6</v>
      </c>
      <c r="E219"/>
      <c r="F219">
        <v>0</v>
      </c>
      <c r="G219"/>
      <c r="H219">
        <v>-55.6</v>
      </c>
      <c r="I219"/>
      <c r="J219" s="10">
        <v>-667.2</v>
      </c>
      <c r="K219"/>
      <c r="L219" s="35">
        <f t="shared" si="3"/>
        <v>-667.2</v>
      </c>
      <c r="N219" s="6" t="str">
        <f>IF(ISERROR(VLOOKUP($A219,'Plano de Contas'!#REF!,8,FALSE)),"",VLOOKUP($A219,'Plano de Contas'!#REF!,8,FALSE))</f>
        <v/>
      </c>
      <c r="P219" s="6" t="str">
        <f>IF(ISERROR(VLOOKUP($A219,'Plano de Contas'!#REF!,10,FALSE)),"",VLOOKUP($A219,'Plano de Contas'!#REF!,10,FALSE))</f>
        <v/>
      </c>
      <c r="R219" s="6" t="e">
        <f>VLOOKUP(A219,'Plano de Contas'!#REF!,12,FALSE)</f>
        <v>#REF!</v>
      </c>
      <c r="T219" s="6" t="e">
        <f>VLOOKUP(A219,'Plano de Contas'!#REF!,13,FALSE)</f>
        <v>#REF!</v>
      </c>
    </row>
    <row r="220" spans="1:20" s="5" customFormat="1" x14ac:dyDescent="0.25">
      <c r="A220" t="s">
        <v>1181</v>
      </c>
      <c r="B220">
        <v>1058</v>
      </c>
      <c r="C220" t="s">
        <v>1182</v>
      </c>
      <c r="D220" s="10">
        <v>29714.74</v>
      </c>
      <c r="E220" t="s">
        <v>35</v>
      </c>
      <c r="F220">
        <v>0</v>
      </c>
      <c r="G220"/>
      <c r="H220" s="10">
        <v>2701.34</v>
      </c>
      <c r="I220" t="s">
        <v>35</v>
      </c>
      <c r="J220" s="10">
        <v>32416.080000000002</v>
      </c>
      <c r="K220" t="s">
        <v>35</v>
      </c>
      <c r="L220" s="1">
        <f t="shared" si="3"/>
        <v>-32416.080000000002</v>
      </c>
      <c r="N220" s="6" t="str">
        <f>IF(ISERROR(VLOOKUP($A220,'Plano de Contas'!#REF!,8,FALSE)),"",VLOOKUP($A220,'Plano de Contas'!#REF!,8,FALSE))</f>
        <v/>
      </c>
      <c r="P220" s="6" t="str">
        <f>IF(ISERROR(VLOOKUP($A220,'Plano de Contas'!#REF!,10,FALSE)),"",VLOOKUP($A220,'Plano de Contas'!#REF!,10,FALSE))</f>
        <v/>
      </c>
      <c r="R220" s="6" t="e">
        <f>VLOOKUP(A220,'Plano de Contas'!#REF!,12,FALSE)</f>
        <v>#REF!</v>
      </c>
      <c r="T220" s="6" t="e">
        <f>VLOOKUP(A220,'Plano de Contas'!#REF!,13,FALSE)</f>
        <v>#REF!</v>
      </c>
    </row>
    <row r="221" spans="1:20" s="5" customFormat="1" x14ac:dyDescent="0.25">
      <c r="A221" t="s">
        <v>1183</v>
      </c>
      <c r="B221">
        <v>1059</v>
      </c>
      <c r="C221" t="s">
        <v>1184</v>
      </c>
      <c r="D221" s="10">
        <v>-462666.27</v>
      </c>
      <c r="E221"/>
      <c r="F221" s="10">
        <v>0</v>
      </c>
      <c r="G221"/>
      <c r="H221" s="10">
        <v>-42060.57</v>
      </c>
      <c r="I221"/>
      <c r="J221" s="10">
        <v>-504726.84</v>
      </c>
      <c r="K221"/>
      <c r="L221" s="1">
        <f t="shared" si="3"/>
        <v>-504726.84</v>
      </c>
      <c r="N221" s="6" t="str">
        <f>IF(ISERROR(VLOOKUP($A221,'Plano de Contas'!#REF!,8,FALSE)),"",VLOOKUP($A221,'Plano de Contas'!#REF!,8,FALSE))</f>
        <v/>
      </c>
      <c r="P221" s="6" t="str">
        <f>IF(ISERROR(VLOOKUP($A221,'Plano de Contas'!#REF!,10,FALSE)),"",VLOOKUP($A221,'Plano de Contas'!#REF!,10,FALSE))</f>
        <v/>
      </c>
      <c r="R221" s="6" t="e">
        <f>VLOOKUP(A221,'Plano de Contas'!#REF!,12,FALSE)</f>
        <v>#REF!</v>
      </c>
      <c r="T221" s="6" t="e">
        <f>VLOOKUP(A221,'Plano de Contas'!#REF!,13,FALSE)</f>
        <v>#REF!</v>
      </c>
    </row>
    <row r="222" spans="1:20" s="5" customFormat="1" x14ac:dyDescent="0.25">
      <c r="A222" t="s">
        <v>1185</v>
      </c>
      <c r="B222">
        <v>1063</v>
      </c>
      <c r="C222" t="s">
        <v>1186</v>
      </c>
      <c r="D222" s="10">
        <v>-8017015.8200000003</v>
      </c>
      <c r="E222"/>
      <c r="F222" s="10">
        <v>0</v>
      </c>
      <c r="G222"/>
      <c r="H222" s="10">
        <v>-728819.62</v>
      </c>
      <c r="I222"/>
      <c r="J222" s="10">
        <v>-8745835.4399999995</v>
      </c>
      <c r="K222"/>
      <c r="L222" s="1">
        <f t="shared" si="3"/>
        <v>-8745835.4399999995</v>
      </c>
      <c r="N222" s="6" t="str">
        <f>IF(ISERROR(VLOOKUP($A222,'Plano de Contas'!#REF!,8,FALSE)),"",VLOOKUP($A222,'Plano de Contas'!#REF!,8,FALSE))</f>
        <v/>
      </c>
      <c r="P222" s="6" t="str">
        <f>IF(ISERROR(VLOOKUP($A222,'Plano de Contas'!#REF!,10,FALSE)),"",VLOOKUP($A222,'Plano de Contas'!#REF!,10,FALSE))</f>
        <v/>
      </c>
      <c r="R222" s="6" t="e">
        <f>VLOOKUP(A222,'Plano de Contas'!#REF!,12,FALSE)</f>
        <v>#REF!</v>
      </c>
      <c r="T222" s="6" t="e">
        <f>VLOOKUP(A222,'Plano de Contas'!#REF!,13,FALSE)</f>
        <v>#REF!</v>
      </c>
    </row>
    <row r="223" spans="1:20" s="5" customFormat="1" x14ac:dyDescent="0.25">
      <c r="A223"/>
      <c r="B223"/>
      <c r="C223"/>
      <c r="D223" s="10"/>
      <c r="E223"/>
      <c r="F223"/>
      <c r="G223"/>
      <c r="H223" s="10"/>
      <c r="I223"/>
      <c r="J223" s="10"/>
      <c r="K223"/>
      <c r="L223" s="1">
        <f t="shared" si="3"/>
        <v>0</v>
      </c>
      <c r="N223" s="6" t="str">
        <f>IF(ISERROR(VLOOKUP($A223,'Plano de Contas'!#REF!,8,FALSE)),"",VLOOKUP($A223,'Plano de Contas'!#REF!,8,FALSE))</f>
        <v/>
      </c>
      <c r="P223" s="6" t="str">
        <f>IF(ISERROR(VLOOKUP($A223,'Plano de Contas'!#REF!,10,FALSE)),"",VLOOKUP($A223,'Plano de Contas'!#REF!,10,FALSE))</f>
        <v/>
      </c>
      <c r="R223" s="6" t="e">
        <f>VLOOKUP(A223,'Plano de Contas'!#REF!,12,FALSE)</f>
        <v>#REF!</v>
      </c>
      <c r="T223" s="6" t="e">
        <f>VLOOKUP(A223,'Plano de Contas'!#REF!,13,FALSE)</f>
        <v>#REF!</v>
      </c>
    </row>
    <row r="224" spans="1:20" s="5" customFormat="1" x14ac:dyDescent="0.25">
      <c r="A224" t="s">
        <v>447</v>
      </c>
      <c r="B224">
        <v>784</v>
      </c>
      <c r="C224" t="s">
        <v>448</v>
      </c>
      <c r="D224" s="10">
        <v>46993274.579999998</v>
      </c>
      <c r="E224"/>
      <c r="F224" s="10">
        <v>1283866.54</v>
      </c>
      <c r="G224"/>
      <c r="H224" s="10">
        <v>237922.52</v>
      </c>
      <c r="I224" t="s">
        <v>35</v>
      </c>
      <c r="J224" s="10">
        <v>48039218.600000001</v>
      </c>
      <c r="K224"/>
      <c r="L224" s="1">
        <f t="shared" si="3"/>
        <v>48039218.600000001</v>
      </c>
      <c r="N224" s="6" t="str">
        <f>IF(ISERROR(VLOOKUP($A224,'Plano de Contas'!#REF!,8,FALSE)),"",VLOOKUP($A224,'Plano de Contas'!#REF!,8,FALSE))</f>
        <v/>
      </c>
      <c r="P224" s="6" t="str">
        <f>IF(ISERROR(VLOOKUP($A224,'Plano de Contas'!#REF!,10,FALSE)),"",VLOOKUP($A224,'Plano de Contas'!#REF!,10,FALSE))</f>
        <v/>
      </c>
      <c r="R224" s="6" t="e">
        <f>VLOOKUP(A224,'Plano de Contas'!#REF!,12,FALSE)</f>
        <v>#REF!</v>
      </c>
      <c r="T224" s="6" t="e">
        <f>VLOOKUP(A224,'Plano de Contas'!#REF!,13,FALSE)</f>
        <v>#REF!</v>
      </c>
    </row>
    <row r="225" spans="1:20" s="5" customFormat="1" x14ac:dyDescent="0.25">
      <c r="A225"/>
      <c r="B225"/>
      <c r="C225"/>
      <c r="D225" s="10"/>
      <c r="E225"/>
      <c r="F225"/>
      <c r="G225"/>
      <c r="H225" s="10"/>
      <c r="I225"/>
      <c r="J225" s="10"/>
      <c r="K225"/>
      <c r="L225" s="1">
        <f t="shared" si="3"/>
        <v>0</v>
      </c>
      <c r="N225" s="6" t="str">
        <f>IF(ISERROR(VLOOKUP($A225,'Plano de Contas'!#REF!,8,FALSE)),"",VLOOKUP($A225,'Plano de Contas'!#REF!,8,FALSE))</f>
        <v/>
      </c>
      <c r="P225" s="6" t="str">
        <f>IF(ISERROR(VLOOKUP($A225,'Plano de Contas'!#REF!,10,FALSE)),"",VLOOKUP($A225,'Plano de Contas'!#REF!,10,FALSE))</f>
        <v/>
      </c>
      <c r="R225" s="6" t="e">
        <f>VLOOKUP(A225,'Plano de Contas'!#REF!,12,FALSE)</f>
        <v>#REF!</v>
      </c>
      <c r="T225" s="6" t="e">
        <f>VLOOKUP(A225,'Plano de Contas'!#REF!,13,FALSE)</f>
        <v>#REF!</v>
      </c>
    </row>
    <row r="226" spans="1:20" s="5" customFormat="1" x14ac:dyDescent="0.25">
      <c r="A226" t="s">
        <v>449</v>
      </c>
      <c r="B226">
        <v>785</v>
      </c>
      <c r="C226" t="s">
        <v>450</v>
      </c>
      <c r="D226" s="10">
        <v>51437337.93</v>
      </c>
      <c r="E226"/>
      <c r="F226" s="10">
        <v>1283866.54</v>
      </c>
      <c r="G226"/>
      <c r="H226">
        <v>0</v>
      </c>
      <c r="I226"/>
      <c r="J226" s="10">
        <v>52721204.469999999</v>
      </c>
      <c r="K226"/>
      <c r="L226" s="1">
        <f t="shared" si="3"/>
        <v>52721204.469999999</v>
      </c>
      <c r="N226" s="6" t="str">
        <f>IF(ISERROR(VLOOKUP($A226,'Plano de Contas'!#REF!,8,FALSE)),"",VLOOKUP($A226,'Plano de Contas'!#REF!,8,FALSE))</f>
        <v/>
      </c>
      <c r="P226" s="6" t="str">
        <f>IF(ISERROR(VLOOKUP($A226,'Plano de Contas'!#REF!,10,FALSE)),"",VLOOKUP($A226,'Plano de Contas'!#REF!,10,FALSE))</f>
        <v/>
      </c>
      <c r="R226" s="6" t="e">
        <f>VLOOKUP(A226,'Plano de Contas'!#REF!,12,FALSE)</f>
        <v>#REF!</v>
      </c>
      <c r="T226" s="6" t="e">
        <f>VLOOKUP(A226,'Plano de Contas'!#REF!,13,FALSE)</f>
        <v>#REF!</v>
      </c>
    </row>
    <row r="227" spans="1:20" s="5" customFormat="1" x14ac:dyDescent="0.25">
      <c r="A227" t="s">
        <v>451</v>
      </c>
      <c r="B227">
        <v>786</v>
      </c>
      <c r="C227" t="s">
        <v>452</v>
      </c>
      <c r="D227" s="10">
        <v>615000</v>
      </c>
      <c r="E227"/>
      <c r="F227" s="10">
        <v>0</v>
      </c>
      <c r="G227"/>
      <c r="H227" s="10">
        <v>0</v>
      </c>
      <c r="I227"/>
      <c r="J227" s="10">
        <v>615000</v>
      </c>
      <c r="K227"/>
      <c r="L227" s="35">
        <f t="shared" si="3"/>
        <v>615000</v>
      </c>
      <c r="N227" s="6" t="str">
        <f>IF(ISERROR(VLOOKUP($A227,'Plano de Contas'!#REF!,8,FALSE)),"",VLOOKUP($A227,'Plano de Contas'!#REF!,8,FALSE))</f>
        <v/>
      </c>
      <c r="P227" s="6" t="str">
        <f>IF(ISERROR(VLOOKUP($A227,'Plano de Contas'!#REF!,10,FALSE)),"",VLOOKUP($A227,'Plano de Contas'!#REF!,10,FALSE))</f>
        <v/>
      </c>
      <c r="R227" s="6" t="e">
        <f>VLOOKUP(A227,'Plano de Contas'!#REF!,12,FALSE)</f>
        <v>#REF!</v>
      </c>
      <c r="T227" s="6" t="e">
        <f>VLOOKUP(A227,'Plano de Contas'!#REF!,13,FALSE)</f>
        <v>#REF!</v>
      </c>
    </row>
    <row r="228" spans="1:20" s="5" customFormat="1" x14ac:dyDescent="0.25">
      <c r="A228" t="s">
        <v>453</v>
      </c>
      <c r="B228">
        <v>830</v>
      </c>
      <c r="C228" t="s">
        <v>454</v>
      </c>
      <c r="D228" s="10">
        <v>142710.35</v>
      </c>
      <c r="E228"/>
      <c r="F228">
        <v>0</v>
      </c>
      <c r="G228"/>
      <c r="H228" s="10">
        <v>0</v>
      </c>
      <c r="I228"/>
      <c r="J228" s="10">
        <v>142710.35</v>
      </c>
      <c r="K228"/>
      <c r="L228" s="1">
        <f t="shared" si="3"/>
        <v>142710.35</v>
      </c>
      <c r="N228" s="6" t="str">
        <f>IF(ISERROR(VLOOKUP($A228,'Plano de Contas'!#REF!,8,FALSE)),"",VLOOKUP($A228,'Plano de Contas'!#REF!,8,FALSE))</f>
        <v/>
      </c>
      <c r="P228" s="6" t="str">
        <f>IF(ISERROR(VLOOKUP($A228,'Plano de Contas'!#REF!,10,FALSE)),"",VLOOKUP($A228,'Plano de Contas'!#REF!,10,FALSE))</f>
        <v/>
      </c>
      <c r="R228" s="6" t="e">
        <f>VLOOKUP(A228,'Plano de Contas'!#REF!,12,FALSE)</f>
        <v>#REF!</v>
      </c>
      <c r="T228" s="6" t="e">
        <f>VLOOKUP(A228,'Plano de Contas'!#REF!,13,FALSE)</f>
        <v>#REF!</v>
      </c>
    </row>
    <row r="229" spans="1:20" s="5" customFormat="1" x14ac:dyDescent="0.25">
      <c r="A229" t="s">
        <v>455</v>
      </c>
      <c r="B229">
        <v>831</v>
      </c>
      <c r="C229" t="s">
        <v>456</v>
      </c>
      <c r="D229" s="10">
        <v>142040.47</v>
      </c>
      <c r="E229"/>
      <c r="F229" s="10">
        <v>0</v>
      </c>
      <c r="G229"/>
      <c r="H229" s="10">
        <v>0</v>
      </c>
      <c r="I229"/>
      <c r="J229" s="10">
        <v>142040.47</v>
      </c>
      <c r="K229"/>
      <c r="L229" s="1">
        <f t="shared" si="3"/>
        <v>142040.47</v>
      </c>
      <c r="N229" s="6" t="str">
        <f>IF(ISERROR(VLOOKUP($A229,'Plano de Contas'!#REF!,8,FALSE)),"",VLOOKUP($A229,'Plano de Contas'!#REF!,8,FALSE))</f>
        <v/>
      </c>
      <c r="P229" s="6" t="str">
        <f>IF(ISERROR(VLOOKUP($A229,'Plano de Contas'!#REF!,10,FALSE)),"",VLOOKUP($A229,'Plano de Contas'!#REF!,10,FALSE))</f>
        <v/>
      </c>
      <c r="R229" s="6" t="e">
        <f>VLOOKUP(A229,'Plano de Contas'!#REF!,12,FALSE)</f>
        <v>#REF!</v>
      </c>
      <c r="T229" s="6" t="e">
        <f>VLOOKUP(A229,'Plano de Contas'!#REF!,13,FALSE)</f>
        <v>#REF!</v>
      </c>
    </row>
    <row r="230" spans="1:20" s="5" customFormat="1" x14ac:dyDescent="0.25">
      <c r="A230" t="s">
        <v>457</v>
      </c>
      <c r="B230">
        <v>866</v>
      </c>
      <c r="C230" t="s">
        <v>1048</v>
      </c>
      <c r="D230" s="10">
        <v>1787658.7</v>
      </c>
      <c r="E230"/>
      <c r="F230">
        <v>0</v>
      </c>
      <c r="G230"/>
      <c r="H230">
        <v>0</v>
      </c>
      <c r="I230"/>
      <c r="J230" s="10">
        <v>1787658.7</v>
      </c>
      <c r="K230"/>
      <c r="L230" s="1">
        <f t="shared" si="3"/>
        <v>1787658.7</v>
      </c>
      <c r="N230" s="6" t="str">
        <f>IF(ISERROR(VLOOKUP($A230,'Plano de Contas'!#REF!,8,FALSE)),"",VLOOKUP($A230,'Plano de Contas'!#REF!,8,FALSE))</f>
        <v/>
      </c>
      <c r="P230" s="6" t="str">
        <f>IF(ISERROR(VLOOKUP($A230,'Plano de Contas'!#REF!,10,FALSE)),"",VLOOKUP($A230,'Plano de Contas'!#REF!,10,FALSE))</f>
        <v/>
      </c>
      <c r="R230" s="6" t="e">
        <f>VLOOKUP(A230,'Plano de Contas'!#REF!,12,FALSE)</f>
        <v>#REF!</v>
      </c>
      <c r="T230" s="6" t="e">
        <f>VLOOKUP(A230,'Plano de Contas'!#REF!,13,FALSE)</f>
        <v>#REF!</v>
      </c>
    </row>
    <row r="231" spans="1:20" s="5" customFormat="1" x14ac:dyDescent="0.25">
      <c r="A231" t="s">
        <v>459</v>
      </c>
      <c r="B231">
        <v>867</v>
      </c>
      <c r="C231" t="s">
        <v>460</v>
      </c>
      <c r="D231" s="10">
        <v>7149550.1500000004</v>
      </c>
      <c r="E231"/>
      <c r="F231">
        <v>0</v>
      </c>
      <c r="G231"/>
      <c r="H231" s="10">
        <v>0</v>
      </c>
      <c r="I231"/>
      <c r="J231" s="10">
        <v>7149550.1500000004</v>
      </c>
      <c r="K231"/>
      <c r="L231" s="1">
        <f t="shared" si="3"/>
        <v>7149550.1500000004</v>
      </c>
      <c r="N231" s="6" t="str">
        <f>IF(ISERROR(VLOOKUP($A231,'Plano de Contas'!#REF!,8,FALSE)),"",VLOOKUP($A231,'Plano de Contas'!#REF!,8,FALSE))</f>
        <v/>
      </c>
      <c r="P231" s="6" t="str">
        <f>IF(ISERROR(VLOOKUP($A231,'Plano de Contas'!#REF!,10,FALSE)),"",VLOOKUP($A231,'Plano de Contas'!#REF!,10,FALSE))</f>
        <v/>
      </c>
      <c r="R231" s="6" t="e">
        <f>VLOOKUP(A231,'Plano de Contas'!#REF!,12,FALSE)</f>
        <v>#REF!</v>
      </c>
      <c r="T231" s="6" t="e">
        <f>VLOOKUP(A231,'Plano de Contas'!#REF!,13,FALSE)</f>
        <v>#REF!</v>
      </c>
    </row>
    <row r="232" spans="1:20" s="5" customFormat="1" x14ac:dyDescent="0.25">
      <c r="A232" t="s">
        <v>461</v>
      </c>
      <c r="B232">
        <v>868</v>
      </c>
      <c r="C232" t="s">
        <v>462</v>
      </c>
      <c r="D232" s="10">
        <v>643.07000000000005</v>
      </c>
      <c r="E232"/>
      <c r="F232">
        <v>0</v>
      </c>
      <c r="G232"/>
      <c r="H232" s="10">
        <v>0</v>
      </c>
      <c r="I232"/>
      <c r="J232" s="10">
        <v>643.07000000000005</v>
      </c>
      <c r="K232"/>
      <c r="L232" s="1">
        <f t="shared" si="3"/>
        <v>643.07000000000005</v>
      </c>
      <c r="N232" s="6" t="str">
        <f>IF(ISERROR(VLOOKUP($A232,'Plano de Contas'!#REF!,8,FALSE)),"",VLOOKUP($A232,'Plano de Contas'!#REF!,8,FALSE))</f>
        <v/>
      </c>
      <c r="P232" s="6" t="str">
        <f>IF(ISERROR(VLOOKUP($A232,'Plano de Contas'!#REF!,10,FALSE)),"",VLOOKUP($A232,'Plano de Contas'!#REF!,10,FALSE))</f>
        <v/>
      </c>
      <c r="R232" s="6" t="e">
        <f>VLOOKUP(A232,'Plano de Contas'!#REF!,12,FALSE)</f>
        <v>#REF!</v>
      </c>
      <c r="T232" s="6" t="e">
        <f>VLOOKUP(A232,'Plano de Contas'!#REF!,13,FALSE)</f>
        <v>#REF!</v>
      </c>
    </row>
    <row r="233" spans="1:20" s="5" customFormat="1" x14ac:dyDescent="0.25">
      <c r="A233" t="s">
        <v>463</v>
      </c>
      <c r="B233">
        <v>869</v>
      </c>
      <c r="C233" t="s">
        <v>464</v>
      </c>
      <c r="D233" s="10">
        <v>50864.08</v>
      </c>
      <c r="E233"/>
      <c r="F233">
        <v>0</v>
      </c>
      <c r="G233"/>
      <c r="H233">
        <v>0</v>
      </c>
      <c r="I233"/>
      <c r="J233" s="10">
        <v>50864.08</v>
      </c>
      <c r="K233"/>
      <c r="L233" s="1">
        <f t="shared" si="3"/>
        <v>50864.08</v>
      </c>
      <c r="N233" s="6" t="str">
        <f>IF(ISERROR(VLOOKUP($A233,'Plano de Contas'!#REF!,8,FALSE)),"",VLOOKUP($A233,'Plano de Contas'!#REF!,8,FALSE))</f>
        <v/>
      </c>
      <c r="P233" s="6" t="str">
        <f>IF(ISERROR(VLOOKUP($A233,'Plano de Contas'!#REF!,10,FALSE)),"",VLOOKUP($A233,'Plano de Contas'!#REF!,10,FALSE))</f>
        <v/>
      </c>
      <c r="R233" s="6" t="e">
        <f>VLOOKUP(A233,'Plano de Contas'!#REF!,12,FALSE)</f>
        <v>#REF!</v>
      </c>
      <c r="T233" s="6" t="e">
        <f>VLOOKUP(A233,'Plano de Contas'!#REF!,13,FALSE)</f>
        <v>#REF!</v>
      </c>
    </row>
    <row r="234" spans="1:20" s="5" customFormat="1" x14ac:dyDescent="0.25">
      <c r="A234" t="s">
        <v>465</v>
      </c>
      <c r="B234">
        <v>870</v>
      </c>
      <c r="C234" t="s">
        <v>466</v>
      </c>
      <c r="D234" s="10">
        <v>1244022.53</v>
      </c>
      <c r="E234"/>
      <c r="F234">
        <v>0</v>
      </c>
      <c r="G234"/>
      <c r="H234" s="10">
        <v>0</v>
      </c>
      <c r="I234"/>
      <c r="J234" s="10">
        <v>1244022.53</v>
      </c>
      <c r="K234"/>
      <c r="L234" s="1">
        <f t="shared" si="3"/>
        <v>1244022.53</v>
      </c>
      <c r="N234" s="6" t="str">
        <f>IF(ISERROR(VLOOKUP($A234,'Plano de Contas'!#REF!,8,FALSE)),"",VLOOKUP($A234,'Plano de Contas'!#REF!,8,FALSE))</f>
        <v/>
      </c>
      <c r="P234" s="6" t="str">
        <f>IF(ISERROR(VLOOKUP($A234,'Plano de Contas'!#REF!,10,FALSE)),"",VLOOKUP($A234,'Plano de Contas'!#REF!,10,FALSE))</f>
        <v/>
      </c>
      <c r="R234" s="6" t="e">
        <f>VLOOKUP(A234,'Plano de Contas'!#REF!,12,FALSE)</f>
        <v>#REF!</v>
      </c>
      <c r="T234" s="6" t="e">
        <f>VLOOKUP(A234,'Plano de Contas'!#REF!,13,FALSE)</f>
        <v>#REF!</v>
      </c>
    </row>
    <row r="235" spans="1:20" s="5" customFormat="1" x14ac:dyDescent="0.25">
      <c r="A235" t="s">
        <v>467</v>
      </c>
      <c r="B235">
        <v>871</v>
      </c>
      <c r="C235" t="s">
        <v>468</v>
      </c>
      <c r="D235" s="10">
        <v>700000</v>
      </c>
      <c r="E235"/>
      <c r="F235">
        <v>0</v>
      </c>
      <c r="G235"/>
      <c r="H235" s="10">
        <v>0</v>
      </c>
      <c r="I235"/>
      <c r="J235" s="10">
        <v>700000</v>
      </c>
      <c r="K235"/>
      <c r="L235" s="1">
        <f t="shared" si="3"/>
        <v>700000</v>
      </c>
      <c r="N235" s="6" t="str">
        <f>IF(ISERROR(VLOOKUP($A235,'Plano de Contas'!#REF!,8,FALSE)),"",VLOOKUP($A235,'Plano de Contas'!#REF!,8,FALSE))</f>
        <v/>
      </c>
      <c r="P235" s="6" t="str">
        <f>IF(ISERROR(VLOOKUP($A235,'Plano de Contas'!#REF!,10,FALSE)),"",VLOOKUP($A235,'Plano de Contas'!#REF!,10,FALSE))</f>
        <v/>
      </c>
      <c r="R235" s="6" t="e">
        <f>VLOOKUP(A235,'Plano de Contas'!#REF!,12,FALSE)</f>
        <v>#REF!</v>
      </c>
      <c r="T235" s="6" t="e">
        <f>VLOOKUP(A235,'Plano de Contas'!#REF!,13,FALSE)</f>
        <v>#REF!</v>
      </c>
    </row>
    <row r="236" spans="1:20" s="5" customFormat="1" x14ac:dyDescent="0.25">
      <c r="A236" t="s">
        <v>469</v>
      </c>
      <c r="B236">
        <v>872</v>
      </c>
      <c r="C236" t="s">
        <v>470</v>
      </c>
      <c r="D236" s="10">
        <v>149771.41</v>
      </c>
      <c r="E236"/>
      <c r="F236">
        <v>0</v>
      </c>
      <c r="G236"/>
      <c r="H236">
        <v>0</v>
      </c>
      <c r="I236"/>
      <c r="J236" s="10">
        <v>149771.41</v>
      </c>
      <c r="K236"/>
      <c r="L236" s="1">
        <f t="shared" si="3"/>
        <v>149771.41</v>
      </c>
      <c r="N236" s="6" t="str">
        <f>IF(ISERROR(VLOOKUP($A236,'Plano de Contas'!#REF!,8,FALSE)),"",VLOOKUP($A236,'Plano de Contas'!#REF!,8,FALSE))</f>
        <v/>
      </c>
      <c r="P236" s="6" t="str">
        <f>IF(ISERROR(VLOOKUP($A236,'Plano de Contas'!#REF!,10,FALSE)),"",VLOOKUP($A236,'Plano de Contas'!#REF!,10,FALSE))</f>
        <v/>
      </c>
      <c r="R236" s="6" t="e">
        <f>VLOOKUP(A236,'Plano de Contas'!#REF!,12,FALSE)</f>
        <v>#REF!</v>
      </c>
      <c r="T236" s="6" t="e">
        <f>VLOOKUP(A236,'Plano de Contas'!#REF!,13,FALSE)</f>
        <v>#REF!</v>
      </c>
    </row>
    <row r="237" spans="1:20" s="5" customFormat="1" x14ac:dyDescent="0.25">
      <c r="A237" t="s">
        <v>475</v>
      </c>
      <c r="B237">
        <v>875</v>
      </c>
      <c r="C237" t="s">
        <v>476</v>
      </c>
      <c r="D237" s="10">
        <v>125988.94</v>
      </c>
      <c r="E237"/>
      <c r="F237" s="10">
        <v>0</v>
      </c>
      <c r="G237"/>
      <c r="H237" s="10">
        <v>0</v>
      </c>
      <c r="I237"/>
      <c r="J237" s="10">
        <v>125988.94</v>
      </c>
      <c r="K237"/>
      <c r="L237" s="1">
        <f t="shared" si="3"/>
        <v>125988.94</v>
      </c>
      <c r="N237" s="6" t="str">
        <f>IF(ISERROR(VLOOKUP($A237,'Plano de Contas'!#REF!,8,FALSE)),"",VLOOKUP($A237,'Plano de Contas'!#REF!,8,FALSE))</f>
        <v/>
      </c>
      <c r="P237" s="6" t="str">
        <f>IF(ISERROR(VLOOKUP($A237,'Plano de Contas'!#REF!,10,FALSE)),"",VLOOKUP($A237,'Plano de Contas'!#REF!,10,FALSE))</f>
        <v/>
      </c>
      <c r="R237" s="6" t="e">
        <f>VLOOKUP(A237,'Plano de Contas'!#REF!,12,FALSE)</f>
        <v>#REF!</v>
      </c>
      <c r="T237" s="6" t="e">
        <f>VLOOKUP(A237,'Plano de Contas'!#REF!,13,FALSE)</f>
        <v>#REF!</v>
      </c>
    </row>
    <row r="238" spans="1:20" s="5" customFormat="1" x14ac:dyDescent="0.25">
      <c r="A238" t="s">
        <v>477</v>
      </c>
      <c r="B238">
        <v>878</v>
      </c>
      <c r="C238" t="s">
        <v>478</v>
      </c>
      <c r="D238" s="10">
        <v>4338500.72</v>
      </c>
      <c r="E238"/>
      <c r="F238">
        <v>0</v>
      </c>
      <c r="G238"/>
      <c r="H238" s="10">
        <v>0</v>
      </c>
      <c r="I238"/>
      <c r="J238" s="10">
        <v>4338500.72</v>
      </c>
      <c r="K238"/>
      <c r="L238" s="1">
        <f t="shared" si="3"/>
        <v>4338500.72</v>
      </c>
      <c r="N238" s="6" t="str">
        <f>IF(ISERROR(VLOOKUP($A238,'Plano de Contas'!#REF!,8,FALSE)),"",VLOOKUP($A238,'Plano de Contas'!#REF!,8,FALSE))</f>
        <v/>
      </c>
      <c r="P238" s="6" t="str">
        <f>IF(ISERROR(VLOOKUP($A238,'Plano de Contas'!#REF!,10,FALSE)),"",VLOOKUP($A238,'Plano de Contas'!#REF!,10,FALSE))</f>
        <v/>
      </c>
      <c r="R238" s="6" t="e">
        <f>VLOOKUP(A238,'Plano de Contas'!#REF!,12,FALSE)</f>
        <v>#REF!</v>
      </c>
      <c r="T238" s="6" t="e">
        <f>VLOOKUP(A238,'Plano de Contas'!#REF!,13,FALSE)</f>
        <v>#REF!</v>
      </c>
    </row>
    <row r="239" spans="1:20" s="5" customFormat="1" x14ac:dyDescent="0.25">
      <c r="A239" t="s">
        <v>481</v>
      </c>
      <c r="B239">
        <v>913</v>
      </c>
      <c r="C239" t="s">
        <v>482</v>
      </c>
      <c r="D239" s="10">
        <v>14187623.130000001</v>
      </c>
      <c r="E239"/>
      <c r="F239" s="10">
        <v>0</v>
      </c>
      <c r="G239"/>
      <c r="H239" s="10">
        <v>0</v>
      </c>
      <c r="I239"/>
      <c r="J239" s="10">
        <v>14187623.130000001</v>
      </c>
      <c r="K239"/>
      <c r="L239" s="1">
        <f t="shared" si="3"/>
        <v>14187623.130000001</v>
      </c>
      <c r="N239" s="6" t="str">
        <f>IF(ISERROR(VLOOKUP($A239,'Plano de Contas'!#REF!,8,FALSE)),"",VLOOKUP($A239,'Plano de Contas'!#REF!,8,FALSE))</f>
        <v/>
      </c>
      <c r="P239" s="6" t="str">
        <f>IF(ISERROR(VLOOKUP($A239,'Plano de Contas'!#REF!,10,FALSE)),"",VLOOKUP($A239,'Plano de Contas'!#REF!,10,FALSE))</f>
        <v/>
      </c>
      <c r="R239" s="6" t="e">
        <f>VLOOKUP(A239,'Plano de Contas'!#REF!,12,FALSE)</f>
        <v>#REF!</v>
      </c>
      <c r="T239" s="6" t="e">
        <f>VLOOKUP(A239,'Plano de Contas'!#REF!,13,FALSE)</f>
        <v>#REF!</v>
      </c>
    </row>
    <row r="240" spans="1:20" s="5" customFormat="1" x14ac:dyDescent="0.25">
      <c r="A240" t="s">
        <v>1049</v>
      </c>
      <c r="B240">
        <v>942</v>
      </c>
      <c r="C240" t="s">
        <v>359</v>
      </c>
      <c r="D240" s="10">
        <v>19445836.620000001</v>
      </c>
      <c r="E240"/>
      <c r="F240" s="10">
        <v>1165181.28</v>
      </c>
      <c r="G240"/>
      <c r="H240" s="10">
        <v>0</v>
      </c>
      <c r="I240"/>
      <c r="J240" s="10">
        <v>20611017.899999999</v>
      </c>
      <c r="K240"/>
      <c r="L240" s="1">
        <f t="shared" si="3"/>
        <v>20611017.899999999</v>
      </c>
      <c r="N240" s="6" t="str">
        <f>IF(ISERROR(VLOOKUP($A240,'Plano de Contas'!#REF!,8,FALSE)),"",VLOOKUP($A240,'Plano de Contas'!#REF!,8,FALSE))</f>
        <v/>
      </c>
      <c r="P240" s="6" t="str">
        <f>IF(ISERROR(VLOOKUP($A240,'Plano de Contas'!#REF!,10,FALSE)),"",VLOOKUP($A240,'Plano de Contas'!#REF!,10,FALSE))</f>
        <v/>
      </c>
      <c r="R240" s="6" t="e">
        <f>VLOOKUP(A240,'Plano de Contas'!#REF!,12,FALSE)</f>
        <v>#REF!</v>
      </c>
      <c r="T240" s="6" t="e">
        <f>VLOOKUP(A240,'Plano de Contas'!#REF!,13,FALSE)</f>
        <v>#REF!</v>
      </c>
    </row>
    <row r="241" spans="1:20" s="5" customFormat="1" x14ac:dyDescent="0.25">
      <c r="A241" t="s">
        <v>487</v>
      </c>
      <c r="B241">
        <v>947</v>
      </c>
      <c r="C241" t="s">
        <v>488</v>
      </c>
      <c r="D241" s="10">
        <v>1357127.76</v>
      </c>
      <c r="E241"/>
      <c r="F241" s="10">
        <v>118685.26</v>
      </c>
      <c r="G241"/>
      <c r="H241" s="10">
        <v>0</v>
      </c>
      <c r="I241"/>
      <c r="J241" s="10">
        <v>1475813.02</v>
      </c>
      <c r="K241"/>
      <c r="L241" s="1">
        <f t="shared" si="3"/>
        <v>1475813.02</v>
      </c>
      <c r="N241" s="6" t="str">
        <f>IF(ISERROR(VLOOKUP($A241,'Plano de Contas'!#REF!,8,FALSE)),"",VLOOKUP($A241,'Plano de Contas'!#REF!,8,FALSE))</f>
        <v/>
      </c>
      <c r="P241" s="6" t="str">
        <f>IF(ISERROR(VLOOKUP($A241,'Plano de Contas'!#REF!,10,FALSE)),"",VLOOKUP($A241,'Plano de Contas'!#REF!,10,FALSE))</f>
        <v/>
      </c>
      <c r="R241" s="6" t="e">
        <f>VLOOKUP(A241,'Plano de Contas'!#REF!,12,FALSE)</f>
        <v>#REF!</v>
      </c>
      <c r="T241" s="6" t="e">
        <f>VLOOKUP(A241,'Plano de Contas'!#REF!,13,FALSE)</f>
        <v>#REF!</v>
      </c>
    </row>
    <row r="242" spans="1:20" s="5" customFormat="1" x14ac:dyDescent="0.25">
      <c r="A242"/>
      <c r="B242"/>
      <c r="C242"/>
      <c r="D242" s="10"/>
      <c r="E242"/>
      <c r="F242"/>
      <c r="G242"/>
      <c r="H242" s="10"/>
      <c r="I242"/>
      <c r="J242" s="10"/>
      <c r="K242"/>
      <c r="L242" s="1">
        <f t="shared" si="3"/>
        <v>0</v>
      </c>
      <c r="N242" s="6" t="str">
        <f>IF(ISERROR(VLOOKUP($A242,'Plano de Contas'!#REF!,8,FALSE)),"",VLOOKUP($A242,'Plano de Contas'!#REF!,8,FALSE))</f>
        <v/>
      </c>
      <c r="P242" s="6" t="str">
        <f>IF(ISERROR(VLOOKUP($A242,'Plano de Contas'!#REF!,10,FALSE)),"",VLOOKUP($A242,'Plano de Contas'!#REF!,10,FALSE))</f>
        <v/>
      </c>
      <c r="R242" s="6" t="e">
        <f>VLOOKUP(A242,'Plano de Contas'!#REF!,12,FALSE)</f>
        <v>#REF!</v>
      </c>
      <c r="T242" s="6" t="e">
        <f>VLOOKUP(A242,'Plano de Contas'!#REF!,13,FALSE)</f>
        <v>#REF!</v>
      </c>
    </row>
    <row r="243" spans="1:20" s="5" customFormat="1" x14ac:dyDescent="0.25">
      <c r="A243" t="s">
        <v>489</v>
      </c>
      <c r="B243">
        <v>876</v>
      </c>
      <c r="C243" t="s">
        <v>490</v>
      </c>
      <c r="D243" s="10">
        <v>4445935.78</v>
      </c>
      <c r="E243" t="s">
        <v>35</v>
      </c>
      <c r="F243" s="10">
        <v>0</v>
      </c>
      <c r="G243"/>
      <c r="H243" s="10">
        <v>237922.52</v>
      </c>
      <c r="I243" t="s">
        <v>35</v>
      </c>
      <c r="J243" s="10">
        <v>4683858.3</v>
      </c>
      <c r="K243" t="s">
        <v>35</v>
      </c>
      <c r="L243" s="1">
        <f t="shared" si="3"/>
        <v>-4683858.3</v>
      </c>
      <c r="N243" s="6" t="str">
        <f>IF(ISERROR(VLOOKUP($A243,'Plano de Contas'!#REF!,8,FALSE)),"",VLOOKUP($A243,'Plano de Contas'!#REF!,8,FALSE))</f>
        <v/>
      </c>
      <c r="P243" s="6" t="str">
        <f>IF(ISERROR(VLOOKUP($A243,'Plano de Contas'!#REF!,10,FALSE)),"",VLOOKUP($A243,'Plano de Contas'!#REF!,10,FALSE))</f>
        <v/>
      </c>
      <c r="R243" s="6" t="e">
        <f>VLOOKUP(A243,'Plano de Contas'!#REF!,12,FALSE)</f>
        <v>#REF!</v>
      </c>
      <c r="T243" s="6" t="e">
        <f>VLOOKUP(A243,'Plano de Contas'!#REF!,13,FALSE)</f>
        <v>#REF!</v>
      </c>
    </row>
    <row r="244" spans="1:20" s="5" customFormat="1" x14ac:dyDescent="0.25">
      <c r="A244" t="s">
        <v>491</v>
      </c>
      <c r="B244">
        <v>889</v>
      </c>
      <c r="C244" t="s">
        <v>492</v>
      </c>
      <c r="D244" s="10">
        <v>-878932.39</v>
      </c>
      <c r="E244"/>
      <c r="F244" s="10">
        <v>0</v>
      </c>
      <c r="G244"/>
      <c r="H244" s="10">
        <v>0</v>
      </c>
      <c r="I244"/>
      <c r="J244" s="10">
        <v>-878932.39</v>
      </c>
      <c r="K244"/>
      <c r="L244" s="1">
        <f t="shared" si="3"/>
        <v>-878932.39</v>
      </c>
      <c r="N244" s="6" t="str">
        <f>IF(ISERROR(VLOOKUP($A244,'Plano de Contas'!#REF!,8,FALSE)),"",VLOOKUP($A244,'Plano de Contas'!#REF!,8,FALSE))</f>
        <v/>
      </c>
      <c r="P244" s="6" t="str">
        <f>IF(ISERROR(VLOOKUP($A244,'Plano de Contas'!#REF!,10,FALSE)),"",VLOOKUP($A244,'Plano de Contas'!#REF!,10,FALSE))</f>
        <v/>
      </c>
      <c r="R244" s="6" t="e">
        <f>VLOOKUP(A244,'Plano de Contas'!#REF!,12,FALSE)</f>
        <v>#REF!</v>
      </c>
      <c r="T244" s="6" t="e">
        <f>VLOOKUP(A244,'Plano de Contas'!#REF!,13,FALSE)</f>
        <v>#REF!</v>
      </c>
    </row>
    <row r="245" spans="1:20" s="5" customFormat="1" x14ac:dyDescent="0.25">
      <c r="A245" t="s">
        <v>493</v>
      </c>
      <c r="B245">
        <v>890</v>
      </c>
      <c r="C245" t="s">
        <v>494</v>
      </c>
      <c r="D245" s="10">
        <v>1388652.15</v>
      </c>
      <c r="E245" t="s">
        <v>35</v>
      </c>
      <c r="F245" s="10">
        <v>0</v>
      </c>
      <c r="G245"/>
      <c r="H245" s="10">
        <v>68566.240000000005</v>
      </c>
      <c r="I245" t="s">
        <v>35</v>
      </c>
      <c r="J245" s="10">
        <v>1457218.39</v>
      </c>
      <c r="K245" t="s">
        <v>35</v>
      </c>
      <c r="L245" s="1">
        <f t="shared" si="3"/>
        <v>-1457218.39</v>
      </c>
      <c r="N245" s="6" t="str">
        <f>IF(ISERROR(VLOOKUP($A245,'Plano de Contas'!#REF!,8,FALSE)),"",VLOOKUP($A245,'Plano de Contas'!#REF!,8,FALSE))</f>
        <v/>
      </c>
      <c r="P245" s="6" t="str">
        <f>IF(ISERROR(VLOOKUP($A245,'Plano de Contas'!#REF!,10,FALSE)),"",VLOOKUP($A245,'Plano de Contas'!#REF!,10,FALSE))</f>
        <v/>
      </c>
      <c r="R245" s="6" t="e">
        <f>VLOOKUP(A245,'Plano de Contas'!#REF!,12,FALSE)</f>
        <v>#REF!</v>
      </c>
      <c r="T245" s="6" t="e">
        <f>VLOOKUP(A245,'Plano de Contas'!#REF!,13,FALSE)</f>
        <v>#REF!</v>
      </c>
    </row>
    <row r="246" spans="1:20" s="5" customFormat="1" x14ac:dyDescent="0.25">
      <c r="A246" t="s">
        <v>495</v>
      </c>
      <c r="B246">
        <v>891</v>
      </c>
      <c r="C246" t="s">
        <v>496</v>
      </c>
      <c r="D246" s="10">
        <v>-643.07000000000005</v>
      </c>
      <c r="E246"/>
      <c r="F246" s="10">
        <v>0</v>
      </c>
      <c r="G246"/>
      <c r="H246" s="10">
        <v>0</v>
      </c>
      <c r="I246"/>
      <c r="J246" s="10">
        <v>-643.07000000000005</v>
      </c>
      <c r="K246"/>
      <c r="L246" s="1">
        <f t="shared" si="3"/>
        <v>-643.07000000000005</v>
      </c>
      <c r="N246" s="6" t="str">
        <f>IF(ISERROR(VLOOKUP($A246,'Plano de Contas'!#REF!,8,FALSE)),"",VLOOKUP($A246,'Plano de Contas'!#REF!,8,FALSE))</f>
        <v/>
      </c>
      <c r="P246" s="6" t="str">
        <f>IF(ISERROR(VLOOKUP($A246,'Plano de Contas'!#REF!,10,FALSE)),"",VLOOKUP($A246,'Plano de Contas'!#REF!,10,FALSE))</f>
        <v/>
      </c>
      <c r="R246" s="6" t="e">
        <f>VLOOKUP(A246,'Plano de Contas'!#REF!,12,FALSE)</f>
        <v>#REF!</v>
      </c>
      <c r="T246" s="6" t="e">
        <f>VLOOKUP(A246,'Plano de Contas'!#REF!,13,FALSE)</f>
        <v>#REF!</v>
      </c>
    </row>
    <row r="247" spans="1:20" s="5" customFormat="1" x14ac:dyDescent="0.25">
      <c r="A247" t="s">
        <v>497</v>
      </c>
      <c r="B247">
        <v>892</v>
      </c>
      <c r="C247" t="s">
        <v>498</v>
      </c>
      <c r="D247" s="10">
        <v>-6018.89</v>
      </c>
      <c r="E247"/>
      <c r="F247">
        <v>0</v>
      </c>
      <c r="G247"/>
      <c r="H247">
        <v>-423.87</v>
      </c>
      <c r="I247"/>
      <c r="J247" s="10">
        <v>-6442.76</v>
      </c>
      <c r="K247"/>
      <c r="L247" s="35">
        <f t="shared" si="3"/>
        <v>-6442.76</v>
      </c>
      <c r="N247" s="6" t="str">
        <f>IF(ISERROR(VLOOKUP($A247,'Plano de Contas'!#REF!,8,FALSE)),"",VLOOKUP($A247,'Plano de Contas'!#REF!,8,FALSE))</f>
        <v/>
      </c>
      <c r="P247" s="6" t="str">
        <f>IF(ISERROR(VLOOKUP($A247,'Plano de Contas'!#REF!,10,FALSE)),"",VLOOKUP($A247,'Plano de Contas'!#REF!,10,FALSE))</f>
        <v/>
      </c>
      <c r="R247" s="6" t="e">
        <f>VLOOKUP(A247,'Plano de Contas'!#REF!,12,FALSE)</f>
        <v>#REF!</v>
      </c>
      <c r="T247" s="6" t="e">
        <f>VLOOKUP(A247,'Plano de Contas'!#REF!,13,FALSE)</f>
        <v>#REF!</v>
      </c>
    </row>
    <row r="248" spans="1:20" s="5" customFormat="1" x14ac:dyDescent="0.25">
      <c r="A248" t="s">
        <v>499</v>
      </c>
      <c r="B248">
        <v>893</v>
      </c>
      <c r="C248" t="s">
        <v>500</v>
      </c>
      <c r="D248" s="10">
        <v>102940.4</v>
      </c>
      <c r="E248" t="s">
        <v>35</v>
      </c>
      <c r="F248" s="10">
        <v>0</v>
      </c>
      <c r="G248"/>
      <c r="H248" s="10">
        <v>8634.7999999999993</v>
      </c>
      <c r="I248" t="s">
        <v>35</v>
      </c>
      <c r="J248" s="10">
        <v>111575.2</v>
      </c>
      <c r="K248" t="s">
        <v>35</v>
      </c>
      <c r="L248" s="1">
        <f t="shared" si="3"/>
        <v>-111575.2</v>
      </c>
      <c r="N248" s="6" t="str">
        <f>IF(ISERROR(VLOOKUP($A248,'Plano de Contas'!#REF!,8,FALSE)),"",VLOOKUP($A248,'Plano de Contas'!#REF!,8,FALSE))</f>
        <v/>
      </c>
      <c r="P248" s="6" t="str">
        <f>IF(ISERROR(VLOOKUP($A248,'Plano de Contas'!#REF!,10,FALSE)),"",VLOOKUP($A248,'Plano de Contas'!#REF!,10,FALSE))</f>
        <v/>
      </c>
      <c r="R248" s="6" t="e">
        <f>VLOOKUP(A248,'Plano de Contas'!#REF!,12,FALSE)</f>
        <v>#REF!</v>
      </c>
      <c r="T248" s="6" t="e">
        <f>VLOOKUP(A248,'Plano de Contas'!#REF!,13,FALSE)</f>
        <v>#REF!</v>
      </c>
    </row>
    <row r="249" spans="1:20" s="5" customFormat="1" x14ac:dyDescent="0.25">
      <c r="A249" t="s">
        <v>501</v>
      </c>
      <c r="B249">
        <v>894</v>
      </c>
      <c r="C249" t="s">
        <v>502</v>
      </c>
      <c r="D249" s="10">
        <v>349999.8</v>
      </c>
      <c r="E249" t="s">
        <v>35</v>
      </c>
      <c r="F249">
        <v>0</v>
      </c>
      <c r="G249"/>
      <c r="H249" s="10">
        <v>5833.33</v>
      </c>
      <c r="I249" t="s">
        <v>35</v>
      </c>
      <c r="J249" s="10">
        <v>355833.13</v>
      </c>
      <c r="K249" t="s">
        <v>35</v>
      </c>
      <c r="L249" s="1">
        <f t="shared" si="3"/>
        <v>-355833.13</v>
      </c>
      <c r="N249" s="6" t="str">
        <f>IF(ISERROR(VLOOKUP($A249,'Plano de Contas'!#REF!,8,FALSE)),"",VLOOKUP($A249,'Plano de Contas'!#REF!,8,FALSE))</f>
        <v/>
      </c>
      <c r="P249" s="6" t="str">
        <f>IF(ISERROR(VLOOKUP($A249,'Plano de Contas'!#REF!,10,FALSE)),"",VLOOKUP($A249,'Plano de Contas'!#REF!,10,FALSE))</f>
        <v/>
      </c>
      <c r="R249" s="6" t="e">
        <f>VLOOKUP(A249,'Plano de Contas'!#REF!,12,FALSE)</f>
        <v>#REF!</v>
      </c>
      <c r="T249" s="6" t="e">
        <f>VLOOKUP(A249,'Plano de Contas'!#REF!,13,FALSE)</f>
        <v>#REF!</v>
      </c>
    </row>
    <row r="250" spans="1:20" s="5" customFormat="1" x14ac:dyDescent="0.25">
      <c r="A250" t="s">
        <v>503</v>
      </c>
      <c r="B250">
        <v>895</v>
      </c>
      <c r="C250" t="s">
        <v>504</v>
      </c>
      <c r="D250" s="10">
        <v>4635.3599999999997</v>
      </c>
      <c r="E250" t="s">
        <v>35</v>
      </c>
      <c r="F250">
        <v>0</v>
      </c>
      <c r="G250"/>
      <c r="H250" s="10">
        <v>79.92</v>
      </c>
      <c r="I250" t="s">
        <v>35</v>
      </c>
      <c r="J250" s="10">
        <v>4715.28</v>
      </c>
      <c r="K250" t="s">
        <v>35</v>
      </c>
      <c r="L250" s="35">
        <f t="shared" si="3"/>
        <v>-4715.28</v>
      </c>
      <c r="N250" s="6" t="str">
        <f>IF(ISERROR(VLOOKUP($A250,'Plano de Contas'!#REF!,8,FALSE)),"",VLOOKUP($A250,'Plano de Contas'!#REF!,8,FALSE))</f>
        <v/>
      </c>
      <c r="P250" s="6" t="str">
        <f>IF(ISERROR(VLOOKUP($A250,'Plano de Contas'!#REF!,10,FALSE)),"",VLOOKUP($A250,'Plano de Contas'!#REF!,10,FALSE))</f>
        <v/>
      </c>
      <c r="R250" s="6" t="e">
        <f>VLOOKUP(A250,'Plano de Contas'!#REF!,12,FALSE)</f>
        <v>#REF!</v>
      </c>
      <c r="T250" s="6" t="e">
        <f>VLOOKUP(A250,'Plano de Contas'!#REF!,13,FALSE)</f>
        <v>#REF!</v>
      </c>
    </row>
    <row r="251" spans="1:20" s="5" customFormat="1" x14ac:dyDescent="0.25">
      <c r="A251" t="s">
        <v>505</v>
      </c>
      <c r="B251">
        <v>899</v>
      </c>
      <c r="C251" t="s">
        <v>506</v>
      </c>
      <c r="D251" s="10">
        <v>413581.63</v>
      </c>
      <c r="E251" t="s">
        <v>35</v>
      </c>
      <c r="F251" s="10">
        <v>0</v>
      </c>
      <c r="G251"/>
      <c r="H251" s="10">
        <v>36154.17</v>
      </c>
      <c r="I251" t="s">
        <v>35</v>
      </c>
      <c r="J251" s="10">
        <v>449735.8</v>
      </c>
      <c r="K251" t="s">
        <v>35</v>
      </c>
      <c r="L251" s="35">
        <f t="shared" si="3"/>
        <v>-449735.8</v>
      </c>
      <c r="N251" s="6" t="str">
        <f>IF(ISERROR(VLOOKUP($A251,'Plano de Contas'!#REF!,8,FALSE)),"",VLOOKUP($A251,'Plano de Contas'!#REF!,8,FALSE))</f>
        <v/>
      </c>
      <c r="P251" s="6" t="str">
        <f>IF(ISERROR(VLOOKUP($A251,'Plano de Contas'!#REF!,10,FALSE)),"",VLOOKUP($A251,'Plano de Contas'!#REF!,10,FALSE))</f>
        <v/>
      </c>
      <c r="R251" s="6" t="e">
        <f>VLOOKUP(A251,'Plano de Contas'!#REF!,12,FALSE)</f>
        <v>#REF!</v>
      </c>
      <c r="T251" s="6" t="e">
        <f>VLOOKUP(A251,'Plano de Contas'!#REF!,13,FALSE)</f>
        <v>#REF!</v>
      </c>
    </row>
    <row r="252" spans="1:20" s="5" customFormat="1" x14ac:dyDescent="0.25">
      <c r="A252" t="s">
        <v>1187</v>
      </c>
      <c r="B252">
        <v>978</v>
      </c>
      <c r="C252" t="s">
        <v>1188</v>
      </c>
      <c r="D252" s="10">
        <v>1300532.0900000001</v>
      </c>
      <c r="E252" t="s">
        <v>35</v>
      </c>
      <c r="F252" s="10">
        <v>0</v>
      </c>
      <c r="G252"/>
      <c r="H252" s="10">
        <v>118230.19</v>
      </c>
      <c r="I252" t="s">
        <v>35</v>
      </c>
      <c r="J252" s="10">
        <v>1418762.28</v>
      </c>
      <c r="K252" t="s">
        <v>35</v>
      </c>
      <c r="L252" s="1">
        <f t="shared" si="3"/>
        <v>-1418762.28</v>
      </c>
      <c r="N252" s="6" t="str">
        <f>IF(ISERROR(VLOOKUP($A252,'Plano de Contas'!#REF!,8,FALSE)),"",VLOOKUP($A252,'Plano de Contas'!#REF!,8,FALSE))</f>
        <v/>
      </c>
      <c r="P252" s="6" t="str">
        <f>IF(ISERROR(VLOOKUP($A252,'Plano de Contas'!#REF!,10,FALSE)),"",VLOOKUP($A252,'Plano de Contas'!#REF!,10,FALSE))</f>
        <v/>
      </c>
      <c r="R252" s="6" t="e">
        <f>VLOOKUP(A252,'Plano de Contas'!#REF!,12,FALSE)</f>
        <v>#REF!</v>
      </c>
      <c r="T252" s="6" t="e">
        <f>VLOOKUP(A252,'Plano de Contas'!#REF!,13,FALSE)</f>
        <v>#REF!</v>
      </c>
    </row>
    <row r="253" spans="1:20" s="5" customFormat="1" x14ac:dyDescent="0.25">
      <c r="A253"/>
      <c r="B253"/>
      <c r="C253"/>
      <c r="D253" s="10"/>
      <c r="E253"/>
      <c r="F253"/>
      <c r="G253"/>
      <c r="H253"/>
      <c r="I253"/>
      <c r="J253" s="10"/>
      <c r="K253"/>
      <c r="L253" s="1">
        <f t="shared" si="3"/>
        <v>0</v>
      </c>
      <c r="N253" s="6" t="str">
        <f>IF(ISERROR(VLOOKUP($A253,'Plano de Contas'!#REF!,8,FALSE)),"",VLOOKUP($A253,'Plano de Contas'!#REF!,8,FALSE))</f>
        <v/>
      </c>
      <c r="P253" s="6" t="str">
        <f>IF(ISERROR(VLOOKUP($A253,'Plano de Contas'!#REF!,10,FALSE)),"",VLOOKUP($A253,'Plano de Contas'!#REF!,10,FALSE))</f>
        <v/>
      </c>
      <c r="R253" s="6" t="e">
        <f>VLOOKUP(A253,'Plano de Contas'!#REF!,12,FALSE)</f>
        <v>#REF!</v>
      </c>
      <c r="T253" s="6" t="e">
        <f>VLOOKUP(A253,'Plano de Contas'!#REF!,13,FALSE)</f>
        <v>#REF!</v>
      </c>
    </row>
    <row r="254" spans="1:20" s="5" customFormat="1" x14ac:dyDescent="0.25">
      <c r="A254" t="s">
        <v>507</v>
      </c>
      <c r="B254">
        <v>904</v>
      </c>
      <c r="C254" t="s">
        <v>369</v>
      </c>
      <c r="D254" s="10">
        <v>1872.43</v>
      </c>
      <c r="E254"/>
      <c r="F254">
        <v>0</v>
      </c>
      <c r="G254"/>
      <c r="H254" s="10">
        <v>0</v>
      </c>
      <c r="I254"/>
      <c r="J254" s="10">
        <v>1872.43</v>
      </c>
      <c r="K254"/>
      <c r="L254" s="35">
        <f t="shared" si="3"/>
        <v>1872.43</v>
      </c>
      <c r="N254" s="6" t="str">
        <f>IF(ISERROR(VLOOKUP($A254,'Plano de Contas'!#REF!,8,FALSE)),"",VLOOKUP($A254,'Plano de Contas'!#REF!,8,FALSE))</f>
        <v/>
      </c>
      <c r="P254" s="6" t="str">
        <f>IF(ISERROR(VLOOKUP($A254,'Plano de Contas'!#REF!,10,FALSE)),"",VLOOKUP($A254,'Plano de Contas'!#REF!,10,FALSE))</f>
        <v/>
      </c>
      <c r="R254" s="6" t="e">
        <f>VLOOKUP(A254,'Plano de Contas'!#REF!,12,FALSE)</f>
        <v>#REF!</v>
      </c>
      <c r="T254" s="6" t="e">
        <f>VLOOKUP(A254,'Plano de Contas'!#REF!,13,FALSE)</f>
        <v>#REF!</v>
      </c>
    </row>
    <row r="255" spans="1:20" s="5" customFormat="1" x14ac:dyDescent="0.25">
      <c r="A255" t="s">
        <v>508</v>
      </c>
      <c r="B255">
        <v>905</v>
      </c>
      <c r="C255" t="s">
        <v>509</v>
      </c>
      <c r="D255" s="10">
        <v>1872.43</v>
      </c>
      <c r="E255"/>
      <c r="F255">
        <v>0</v>
      </c>
      <c r="G255"/>
      <c r="H255" s="10">
        <v>0</v>
      </c>
      <c r="I255"/>
      <c r="J255" s="10">
        <v>1872.43</v>
      </c>
      <c r="K255"/>
      <c r="L255" s="35">
        <f t="shared" si="3"/>
        <v>1872.43</v>
      </c>
      <c r="N255" s="6" t="str">
        <f>IF(ISERROR(VLOOKUP($A255,'Plano de Contas'!#REF!,8,FALSE)),"",VLOOKUP($A255,'Plano de Contas'!#REF!,8,FALSE))</f>
        <v/>
      </c>
      <c r="P255" s="6" t="str">
        <f>IF(ISERROR(VLOOKUP($A255,'Plano de Contas'!#REF!,10,FALSE)),"",VLOOKUP($A255,'Plano de Contas'!#REF!,10,FALSE))</f>
        <v/>
      </c>
      <c r="R255" s="6" t="e">
        <f>VLOOKUP(A255,'Plano de Contas'!#REF!,12,FALSE)</f>
        <v>#REF!</v>
      </c>
      <c r="T255" s="6" t="e">
        <f>VLOOKUP(A255,'Plano de Contas'!#REF!,13,FALSE)</f>
        <v>#REF!</v>
      </c>
    </row>
    <row r="256" spans="1:20" s="5" customFormat="1" x14ac:dyDescent="0.25">
      <c r="A256"/>
      <c r="B256"/>
      <c r="C256"/>
      <c r="D256" s="10"/>
      <c r="E256"/>
      <c r="F256" s="10"/>
      <c r="G256"/>
      <c r="H256"/>
      <c r="I256"/>
      <c r="J256" s="10"/>
      <c r="K256"/>
      <c r="L256" s="62">
        <f t="shared" si="3"/>
        <v>0</v>
      </c>
      <c r="N256" s="6" t="str">
        <f>IF(ISERROR(VLOOKUP($A256,'Plano de Contas'!#REF!,8,FALSE)),"",VLOOKUP($A256,'Plano de Contas'!#REF!,8,FALSE))</f>
        <v/>
      </c>
      <c r="P256" s="6" t="str">
        <f>IF(ISERROR(VLOOKUP($A256,'Plano de Contas'!#REF!,10,FALSE)),"",VLOOKUP($A256,'Plano de Contas'!#REF!,10,FALSE))</f>
        <v/>
      </c>
      <c r="R256" s="6" t="e">
        <f>VLOOKUP(A256,'Plano de Contas'!#REF!,12,FALSE)</f>
        <v>#REF!</v>
      </c>
      <c r="T256" s="6" t="e">
        <f>VLOOKUP(A256,'Plano de Contas'!#REF!,13,FALSE)</f>
        <v>#REF!</v>
      </c>
    </row>
    <row r="257" spans="1:20" s="5" customFormat="1" x14ac:dyDescent="0.25">
      <c r="A257">
        <v>2</v>
      </c>
      <c r="B257">
        <v>118</v>
      </c>
      <c r="C257" t="s">
        <v>510</v>
      </c>
      <c r="D257" s="10">
        <v>5244982017.9099998</v>
      </c>
      <c r="E257" t="s">
        <v>35</v>
      </c>
      <c r="F257" s="10">
        <v>889385751.79999995</v>
      </c>
      <c r="G257"/>
      <c r="H257" s="10">
        <v>882600919.91999996</v>
      </c>
      <c r="I257" t="s">
        <v>35</v>
      </c>
      <c r="J257" s="10">
        <v>5238197186.0299997</v>
      </c>
      <c r="K257" t="s">
        <v>35</v>
      </c>
      <c r="L257" s="62">
        <f t="shared" si="3"/>
        <v>-5238197186.0299997</v>
      </c>
      <c r="N257" s="6" t="str">
        <f>IF(ISERROR(VLOOKUP($A257,'Plano de Contas'!#REF!,8,FALSE)),"",VLOOKUP($A257,'Plano de Contas'!#REF!,8,FALSE))</f>
        <v/>
      </c>
      <c r="P257" s="6" t="str">
        <f>IF(ISERROR(VLOOKUP($A257,'Plano de Contas'!#REF!,10,FALSE)),"",VLOOKUP($A257,'Plano de Contas'!#REF!,10,FALSE))</f>
        <v/>
      </c>
      <c r="R257" s="6" t="e">
        <f>VLOOKUP(A257,'Plano de Contas'!#REF!,12,FALSE)</f>
        <v>#REF!</v>
      </c>
      <c r="T257" s="6" t="e">
        <f>VLOOKUP(A257,'Plano de Contas'!#REF!,13,FALSE)</f>
        <v>#REF!</v>
      </c>
    </row>
    <row r="258" spans="1:20" s="5" customFormat="1" x14ac:dyDescent="0.25">
      <c r="A258"/>
      <c r="B258"/>
      <c r="C258"/>
      <c r="D258" s="10"/>
      <c r="E258"/>
      <c r="F258" s="10"/>
      <c r="G258"/>
      <c r="H258"/>
      <c r="I258"/>
      <c r="J258" s="10"/>
      <c r="K258"/>
      <c r="L258" s="62">
        <f t="shared" si="3"/>
        <v>0</v>
      </c>
      <c r="N258" s="6" t="str">
        <f>IF(ISERROR(VLOOKUP($A258,'Plano de Contas'!#REF!,8,FALSE)),"",VLOOKUP($A258,'Plano de Contas'!#REF!,8,FALSE))</f>
        <v/>
      </c>
      <c r="P258" s="6" t="str">
        <f>IF(ISERROR(VLOOKUP($A258,'Plano de Contas'!#REF!,10,FALSE)),"",VLOOKUP($A258,'Plano de Contas'!#REF!,10,FALSE))</f>
        <v/>
      </c>
      <c r="R258" s="6" t="e">
        <f>VLOOKUP(A258,'Plano de Contas'!#REF!,12,FALSE)</f>
        <v>#REF!</v>
      </c>
      <c r="T258" s="6" t="e">
        <f>VLOOKUP(A258,'Plano de Contas'!#REF!,13,FALSE)</f>
        <v>#REF!</v>
      </c>
    </row>
    <row r="259" spans="1:20" s="5" customFormat="1" x14ac:dyDescent="0.25">
      <c r="A259" t="s">
        <v>511</v>
      </c>
      <c r="B259">
        <v>119</v>
      </c>
      <c r="C259" t="s">
        <v>512</v>
      </c>
      <c r="D259" s="10">
        <v>138243891.19</v>
      </c>
      <c r="E259" t="s">
        <v>35</v>
      </c>
      <c r="F259" s="10">
        <v>30738550.109999999</v>
      </c>
      <c r="G259"/>
      <c r="H259" s="10">
        <v>23402516.489999998</v>
      </c>
      <c r="I259" t="s">
        <v>35</v>
      </c>
      <c r="J259" s="10">
        <v>130907857.56999999</v>
      </c>
      <c r="K259" t="s">
        <v>35</v>
      </c>
      <c r="L259" s="62">
        <f t="shared" si="3"/>
        <v>-130907857.56999999</v>
      </c>
      <c r="N259" s="6" t="str">
        <f>IF(ISERROR(VLOOKUP($A259,'Plano de Contas'!#REF!,8,FALSE)),"",VLOOKUP($A259,'Plano de Contas'!#REF!,8,FALSE))</f>
        <v/>
      </c>
      <c r="P259" s="6" t="str">
        <f>IF(ISERROR(VLOOKUP($A259,'Plano de Contas'!#REF!,10,FALSE)),"",VLOOKUP($A259,'Plano de Contas'!#REF!,10,FALSE))</f>
        <v/>
      </c>
      <c r="R259" s="6" t="e">
        <f>VLOOKUP(A259,'Plano de Contas'!#REF!,12,FALSE)</f>
        <v>#REF!</v>
      </c>
      <c r="T259" s="6" t="e">
        <f>VLOOKUP(A259,'Plano de Contas'!#REF!,13,FALSE)</f>
        <v>#REF!</v>
      </c>
    </row>
    <row r="260" spans="1:20" s="5" customFormat="1" x14ac:dyDescent="0.25">
      <c r="A260"/>
      <c r="B260"/>
      <c r="C260"/>
      <c r="D260" s="10"/>
      <c r="E260"/>
      <c r="F260" s="10"/>
      <c r="G260"/>
      <c r="H260" s="10"/>
      <c r="I260"/>
      <c r="J260" s="10"/>
      <c r="K260"/>
      <c r="L260" s="62">
        <f t="shared" si="3"/>
        <v>0</v>
      </c>
      <c r="N260" s="6" t="str">
        <f>IF(ISERROR(VLOOKUP($A260,'Plano de Contas'!#REF!,8,FALSE)),"",VLOOKUP($A260,'Plano de Contas'!#REF!,8,FALSE))</f>
        <v/>
      </c>
      <c r="P260" s="6" t="str">
        <f>IF(ISERROR(VLOOKUP($A260,'Plano de Contas'!#REF!,10,FALSE)),"",VLOOKUP($A260,'Plano de Contas'!#REF!,10,FALSE))</f>
        <v/>
      </c>
      <c r="R260" s="6" t="e">
        <f>VLOOKUP(A260,'Plano de Contas'!#REF!,12,FALSE)</f>
        <v>#REF!</v>
      </c>
      <c r="T260" s="6" t="e">
        <f>VLOOKUP(A260,'Plano de Contas'!#REF!,13,FALSE)</f>
        <v>#REF!</v>
      </c>
    </row>
    <row r="261" spans="1:20" s="5" customFormat="1" x14ac:dyDescent="0.25">
      <c r="A261" t="s">
        <v>513</v>
      </c>
      <c r="B261">
        <v>120</v>
      </c>
      <c r="C261" t="s">
        <v>514</v>
      </c>
      <c r="D261" s="10">
        <v>138243891.19</v>
      </c>
      <c r="E261" t="s">
        <v>35</v>
      </c>
      <c r="F261" s="10">
        <v>30738550.109999999</v>
      </c>
      <c r="G261"/>
      <c r="H261" s="10">
        <v>23402516.489999998</v>
      </c>
      <c r="I261" t="s">
        <v>35</v>
      </c>
      <c r="J261" s="10">
        <v>130907857.56999999</v>
      </c>
      <c r="K261" t="s">
        <v>35</v>
      </c>
      <c r="L261" s="62">
        <f t="shared" si="3"/>
        <v>-130907857.56999999</v>
      </c>
      <c r="N261" s="6" t="str">
        <f>IF(ISERROR(VLOOKUP($A261,'Plano de Contas'!#REF!,8,FALSE)),"",VLOOKUP($A261,'Plano de Contas'!#REF!,8,FALSE))</f>
        <v/>
      </c>
      <c r="P261" s="6" t="str">
        <f>IF(ISERROR(VLOOKUP($A261,'Plano de Contas'!#REF!,10,FALSE)),"",VLOOKUP($A261,'Plano de Contas'!#REF!,10,FALSE))</f>
        <v/>
      </c>
      <c r="R261" s="6" t="e">
        <f>VLOOKUP(A261,'Plano de Contas'!#REF!,12,FALSE)</f>
        <v>#REF!</v>
      </c>
      <c r="T261" s="6" t="e">
        <f>VLOOKUP(A261,'Plano de Contas'!#REF!,13,FALSE)</f>
        <v>#REF!</v>
      </c>
    </row>
    <row r="262" spans="1:20" s="5" customFormat="1" x14ac:dyDescent="0.25">
      <c r="A262"/>
      <c r="B262"/>
      <c r="C262"/>
      <c r="D262" s="10"/>
      <c r="E262"/>
      <c r="F262" s="10"/>
      <c r="G262"/>
      <c r="H262" s="10"/>
      <c r="I262"/>
      <c r="J262" s="10"/>
      <c r="K262"/>
      <c r="L262" s="1">
        <f t="shared" si="3"/>
        <v>0</v>
      </c>
      <c r="N262" s="6" t="str">
        <f>IF(ISERROR(VLOOKUP($A262,'Plano de Contas'!#REF!,8,FALSE)),"",VLOOKUP($A262,'Plano de Contas'!#REF!,8,FALSE))</f>
        <v/>
      </c>
      <c r="P262" s="6" t="str">
        <f>IF(ISERROR(VLOOKUP($A262,'Plano de Contas'!#REF!,10,FALSE)),"",VLOOKUP($A262,'Plano de Contas'!#REF!,10,FALSE))</f>
        <v/>
      </c>
      <c r="R262" s="6" t="e">
        <f>VLOOKUP(A262,'Plano de Contas'!#REF!,12,FALSE)</f>
        <v>#REF!</v>
      </c>
      <c r="T262" s="6" t="e">
        <f>VLOOKUP(A262,'Plano de Contas'!#REF!,13,FALSE)</f>
        <v>#REF!</v>
      </c>
    </row>
    <row r="263" spans="1:20" s="5" customFormat="1" x14ac:dyDescent="0.25">
      <c r="A263" t="s">
        <v>515</v>
      </c>
      <c r="B263">
        <v>121</v>
      </c>
      <c r="C263" t="s">
        <v>516</v>
      </c>
      <c r="D263" s="10">
        <v>114393048.28</v>
      </c>
      <c r="E263" t="s">
        <v>35</v>
      </c>
      <c r="F263" s="10">
        <v>10244607.560000001</v>
      </c>
      <c r="G263"/>
      <c r="H263" s="10">
        <v>12161639.91</v>
      </c>
      <c r="I263" t="s">
        <v>35</v>
      </c>
      <c r="J263" s="10">
        <v>116310080.63</v>
      </c>
      <c r="K263" t="s">
        <v>35</v>
      </c>
      <c r="L263" s="1">
        <f t="shared" si="3"/>
        <v>-116310080.63</v>
      </c>
      <c r="N263" s="6" t="str">
        <f>IF(ISERROR(VLOOKUP($A263,'Plano de Contas'!#REF!,8,FALSE)),"",VLOOKUP($A263,'Plano de Contas'!#REF!,8,FALSE))</f>
        <v/>
      </c>
      <c r="P263" s="6" t="str">
        <f>IF(ISERROR(VLOOKUP($A263,'Plano de Contas'!#REF!,10,FALSE)),"",VLOOKUP($A263,'Plano de Contas'!#REF!,10,FALSE))</f>
        <v/>
      </c>
      <c r="R263" s="6" t="e">
        <f>VLOOKUP(A263,'Plano de Contas'!#REF!,12,FALSE)</f>
        <v>#REF!</v>
      </c>
      <c r="T263" s="6" t="e">
        <f>VLOOKUP(A263,'Plano de Contas'!#REF!,13,FALSE)</f>
        <v>#REF!</v>
      </c>
    </row>
    <row r="264" spans="1:20" s="5" customFormat="1" x14ac:dyDescent="0.25">
      <c r="A264" t="s">
        <v>517</v>
      </c>
      <c r="B264">
        <v>122</v>
      </c>
      <c r="C264" t="s">
        <v>518</v>
      </c>
      <c r="D264" s="10">
        <v>25110.06</v>
      </c>
      <c r="E264" t="s">
        <v>35</v>
      </c>
      <c r="F264" s="10">
        <v>60442.28</v>
      </c>
      <c r="G264"/>
      <c r="H264" s="10">
        <v>424452.59</v>
      </c>
      <c r="I264" t="s">
        <v>35</v>
      </c>
      <c r="J264" s="10">
        <v>389120.37</v>
      </c>
      <c r="K264" t="s">
        <v>35</v>
      </c>
      <c r="L264" s="1">
        <f t="shared" ref="L264:L327" si="4">IF(K264="-",-J264,J264)</f>
        <v>-389120.37</v>
      </c>
      <c r="N264" s="6" t="str">
        <f>IF(ISERROR(VLOOKUP($A264,'Plano de Contas'!#REF!,8,FALSE)),"",VLOOKUP($A264,'Plano de Contas'!#REF!,8,FALSE))</f>
        <v/>
      </c>
      <c r="P264" s="6" t="str">
        <f>IF(ISERROR(VLOOKUP($A264,'Plano de Contas'!#REF!,10,FALSE)),"",VLOOKUP($A264,'Plano de Contas'!#REF!,10,FALSE))</f>
        <v/>
      </c>
      <c r="R264" s="6" t="e">
        <f>VLOOKUP(A264,'Plano de Contas'!#REF!,12,FALSE)</f>
        <v>#REF!</v>
      </c>
      <c r="T264" s="6" t="e">
        <f>VLOOKUP(A264,'Plano de Contas'!#REF!,13,FALSE)</f>
        <v>#REF!</v>
      </c>
    </row>
    <row r="265" spans="1:20" s="5" customFormat="1" x14ac:dyDescent="0.25">
      <c r="A265" t="s">
        <v>519</v>
      </c>
      <c r="B265">
        <v>123</v>
      </c>
      <c r="C265" t="s">
        <v>520</v>
      </c>
      <c r="D265" s="10">
        <v>-1008</v>
      </c>
      <c r="E265"/>
      <c r="F265">
        <v>504</v>
      </c>
      <c r="G265"/>
      <c r="H265" s="10">
        <v>-8297.4699999999993</v>
      </c>
      <c r="I265"/>
      <c r="J265" s="10">
        <v>-8801.4699999999993</v>
      </c>
      <c r="K265"/>
      <c r="L265" s="1">
        <f t="shared" si="4"/>
        <v>-8801.4699999999993</v>
      </c>
      <c r="N265" s="6" t="str">
        <f>IF(ISERROR(VLOOKUP($A265,'Plano de Contas'!#REF!,8,FALSE)),"",VLOOKUP($A265,'Plano de Contas'!#REF!,8,FALSE))</f>
        <v/>
      </c>
      <c r="P265" s="6" t="str">
        <f>IF(ISERROR(VLOOKUP($A265,'Plano de Contas'!#REF!,10,FALSE)),"",VLOOKUP($A265,'Plano de Contas'!#REF!,10,FALSE))</f>
        <v/>
      </c>
      <c r="R265" s="6" t="e">
        <f>VLOOKUP(A265,'Plano de Contas'!#REF!,12,FALSE)</f>
        <v>#REF!</v>
      </c>
      <c r="T265" s="6" t="e">
        <f>VLOOKUP(A265,'Plano de Contas'!#REF!,13,FALSE)</f>
        <v>#REF!</v>
      </c>
    </row>
    <row r="266" spans="1:20" s="5" customFormat="1" x14ac:dyDescent="0.25">
      <c r="A266" t="s">
        <v>521</v>
      </c>
      <c r="B266">
        <v>124</v>
      </c>
      <c r="C266" t="s">
        <v>522</v>
      </c>
      <c r="D266" s="10">
        <v>-114359170.02</v>
      </c>
      <c r="E266"/>
      <c r="F266" s="10">
        <v>10183661.279999999</v>
      </c>
      <c r="G266"/>
      <c r="H266" s="10">
        <v>-11728889.85</v>
      </c>
      <c r="I266"/>
      <c r="J266" s="10">
        <v>-115904398.59</v>
      </c>
      <c r="K266"/>
      <c r="L266" s="1">
        <f t="shared" si="4"/>
        <v>-115904398.59</v>
      </c>
      <c r="N266" s="6" t="str">
        <f>IF(ISERROR(VLOOKUP($A266,'Plano de Contas'!#REF!,8,FALSE)),"",VLOOKUP($A266,'Plano de Contas'!#REF!,8,FALSE))</f>
        <v/>
      </c>
      <c r="P266" s="6" t="str">
        <f>IF(ISERROR(VLOOKUP($A266,'Plano de Contas'!#REF!,10,FALSE)),"",VLOOKUP($A266,'Plano de Contas'!#REF!,10,FALSE))</f>
        <v/>
      </c>
      <c r="R266" s="6" t="e">
        <f>VLOOKUP(A266,'Plano de Contas'!#REF!,12,FALSE)</f>
        <v>#REF!</v>
      </c>
      <c r="T266" s="6" t="e">
        <f>VLOOKUP(A266,'Plano de Contas'!#REF!,13,FALSE)</f>
        <v>#REF!</v>
      </c>
    </row>
    <row r="267" spans="1:20" s="5" customFormat="1" x14ac:dyDescent="0.25">
      <c r="A267" t="s">
        <v>523</v>
      </c>
      <c r="B267">
        <v>429</v>
      </c>
      <c r="C267" t="s">
        <v>524</v>
      </c>
      <c r="D267" s="10">
        <v>-7760.2</v>
      </c>
      <c r="E267"/>
      <c r="F267" s="10">
        <v>0</v>
      </c>
      <c r="G267"/>
      <c r="H267" s="10">
        <v>0</v>
      </c>
      <c r="I267"/>
      <c r="J267" s="10">
        <v>-7760.2</v>
      </c>
      <c r="K267"/>
      <c r="L267" s="1">
        <f t="shared" si="4"/>
        <v>-7760.2</v>
      </c>
      <c r="N267" s="6" t="str">
        <f>IF(ISERROR(VLOOKUP($A267,'Plano de Contas'!#REF!,8,FALSE)),"",VLOOKUP($A267,'Plano de Contas'!#REF!,8,FALSE))</f>
        <v/>
      </c>
      <c r="P267" s="6" t="str">
        <f>IF(ISERROR(VLOOKUP($A267,'Plano de Contas'!#REF!,10,FALSE)),"",VLOOKUP($A267,'Plano de Contas'!#REF!,10,FALSE))</f>
        <v/>
      </c>
      <c r="R267" s="6" t="e">
        <f>VLOOKUP(A267,'Plano de Contas'!#REF!,12,FALSE)</f>
        <v>#REF!</v>
      </c>
      <c r="T267" s="6" t="e">
        <f>VLOOKUP(A267,'Plano de Contas'!#REF!,13,FALSE)</f>
        <v>#REF!</v>
      </c>
    </row>
    <row r="268" spans="1:20" s="5" customFormat="1" x14ac:dyDescent="0.25">
      <c r="A268"/>
      <c r="B268"/>
      <c r="C268"/>
      <c r="D268" s="10"/>
      <c r="E268"/>
      <c r="F268" s="10"/>
      <c r="G268"/>
      <c r="H268" s="10"/>
      <c r="I268"/>
      <c r="J268" s="10"/>
      <c r="K268"/>
      <c r="L268" s="1">
        <f t="shared" si="4"/>
        <v>0</v>
      </c>
      <c r="N268" s="6" t="str">
        <f>IF(ISERROR(VLOOKUP($A268,'Plano de Contas'!#REF!,8,FALSE)),"",VLOOKUP($A268,'Plano de Contas'!#REF!,8,FALSE))</f>
        <v/>
      </c>
      <c r="P268" s="6" t="str">
        <f>IF(ISERROR(VLOOKUP($A268,'Plano de Contas'!#REF!,10,FALSE)),"",VLOOKUP($A268,'Plano de Contas'!#REF!,10,FALSE))</f>
        <v/>
      </c>
      <c r="R268" s="6" t="e">
        <f>VLOOKUP(A268,'Plano de Contas'!#REF!,12,FALSE)</f>
        <v>#REF!</v>
      </c>
      <c r="T268" s="6" t="e">
        <f>VLOOKUP(A268,'Plano de Contas'!#REF!,13,FALSE)</f>
        <v>#REF!</v>
      </c>
    </row>
    <row r="269" spans="1:20" s="5" customFormat="1" x14ac:dyDescent="0.25">
      <c r="A269" t="s">
        <v>525</v>
      </c>
      <c r="B269">
        <v>125</v>
      </c>
      <c r="C269" t="s">
        <v>526</v>
      </c>
      <c r="D269" s="10">
        <v>764351.24</v>
      </c>
      <c r="E269"/>
      <c r="F269" s="10">
        <v>1440584.46</v>
      </c>
      <c r="G269"/>
      <c r="H269" s="10">
        <v>2226761.71</v>
      </c>
      <c r="I269" t="s">
        <v>35</v>
      </c>
      <c r="J269" s="10">
        <v>21826.01</v>
      </c>
      <c r="K269" t="s">
        <v>35</v>
      </c>
      <c r="L269" s="1">
        <f t="shared" si="4"/>
        <v>-21826.01</v>
      </c>
      <c r="N269" s="6" t="str">
        <f>IF(ISERROR(VLOOKUP($A269,'Plano de Contas'!#REF!,8,FALSE)),"",VLOOKUP($A269,'Plano de Contas'!#REF!,8,FALSE))</f>
        <v/>
      </c>
      <c r="P269" s="6" t="str">
        <f>IF(ISERROR(VLOOKUP($A269,'Plano de Contas'!#REF!,10,FALSE)),"",VLOOKUP($A269,'Plano de Contas'!#REF!,10,FALSE))</f>
        <v/>
      </c>
      <c r="R269" s="6" t="e">
        <f>VLOOKUP(A269,'Plano de Contas'!#REF!,12,FALSE)</f>
        <v>#REF!</v>
      </c>
      <c r="T269" s="6" t="e">
        <f>VLOOKUP(A269,'Plano de Contas'!#REF!,13,FALSE)</f>
        <v>#REF!</v>
      </c>
    </row>
    <row r="270" spans="1:20" s="5" customFormat="1" x14ac:dyDescent="0.25">
      <c r="A270" t="s">
        <v>527</v>
      </c>
      <c r="B270">
        <v>126</v>
      </c>
      <c r="C270" t="s">
        <v>528</v>
      </c>
      <c r="D270" s="10">
        <v>0</v>
      </c>
      <c r="E270"/>
      <c r="F270" s="10">
        <v>1394543.18</v>
      </c>
      <c r="G270"/>
      <c r="H270" s="10">
        <v>-1394543.18</v>
      </c>
      <c r="I270"/>
      <c r="J270" s="10">
        <v>0</v>
      </c>
      <c r="K270"/>
      <c r="L270" s="1">
        <f t="shared" si="4"/>
        <v>0</v>
      </c>
      <c r="N270" s="6" t="str">
        <f>IF(ISERROR(VLOOKUP($A270,'Plano de Contas'!#REF!,8,FALSE)),"",VLOOKUP($A270,'Plano de Contas'!#REF!,8,FALSE))</f>
        <v/>
      </c>
      <c r="P270" s="6" t="str">
        <f>IF(ISERROR(VLOOKUP($A270,'Plano de Contas'!#REF!,10,FALSE)),"",VLOOKUP($A270,'Plano de Contas'!#REF!,10,FALSE))</f>
        <v/>
      </c>
      <c r="R270" s="6" t="e">
        <f>VLOOKUP(A270,'Plano de Contas'!#REF!,12,FALSE)</f>
        <v>#REF!</v>
      </c>
      <c r="T270" s="6" t="e">
        <f>VLOOKUP(A270,'Plano de Contas'!#REF!,13,FALSE)</f>
        <v>#REF!</v>
      </c>
    </row>
    <row r="271" spans="1:20" s="5" customFormat="1" x14ac:dyDescent="0.25">
      <c r="A271" t="s">
        <v>529</v>
      </c>
      <c r="B271">
        <v>128</v>
      </c>
      <c r="C271" t="s">
        <v>530</v>
      </c>
      <c r="D271" s="10">
        <v>746170</v>
      </c>
      <c r="E271"/>
      <c r="F271" s="10">
        <v>1938.69</v>
      </c>
      <c r="G271"/>
      <c r="H271" s="10">
        <v>748108.69</v>
      </c>
      <c r="I271" t="s">
        <v>35</v>
      </c>
      <c r="J271" s="10">
        <v>0</v>
      </c>
      <c r="K271"/>
      <c r="L271" s="1">
        <f t="shared" si="4"/>
        <v>0</v>
      </c>
      <c r="N271" s="6" t="str">
        <f>IF(ISERROR(VLOOKUP($A271,'Plano de Contas'!#REF!,8,FALSE)),"",VLOOKUP($A271,'Plano de Contas'!#REF!,8,FALSE))</f>
        <v/>
      </c>
      <c r="P271" s="6" t="str">
        <f>IF(ISERROR(VLOOKUP($A271,'Plano de Contas'!#REF!,10,FALSE)),"",VLOOKUP($A271,'Plano de Contas'!#REF!,10,FALSE))</f>
        <v/>
      </c>
      <c r="R271" s="6" t="e">
        <f>VLOOKUP(A271,'Plano de Contas'!#REF!,12,FALSE)</f>
        <v>#REF!</v>
      </c>
      <c r="T271" s="6" t="e">
        <f>VLOOKUP(A271,'Plano de Contas'!#REF!,13,FALSE)</f>
        <v>#REF!</v>
      </c>
    </row>
    <row r="272" spans="1:20" s="5" customFormat="1" x14ac:dyDescent="0.25">
      <c r="A272" t="s">
        <v>531</v>
      </c>
      <c r="B272">
        <v>129</v>
      </c>
      <c r="C272" t="s">
        <v>532</v>
      </c>
      <c r="D272" s="10">
        <v>298.3</v>
      </c>
      <c r="E272" t="s">
        <v>35</v>
      </c>
      <c r="F272" s="10">
        <v>17899.580000000002</v>
      </c>
      <c r="G272"/>
      <c r="H272" s="10">
        <v>17899.580000000002</v>
      </c>
      <c r="I272" t="s">
        <v>35</v>
      </c>
      <c r="J272" s="10">
        <v>298.3</v>
      </c>
      <c r="K272" t="s">
        <v>35</v>
      </c>
      <c r="L272" s="1">
        <f t="shared" si="4"/>
        <v>-298.3</v>
      </c>
      <c r="N272" s="6" t="str">
        <f>IF(ISERROR(VLOOKUP($A272,'Plano de Contas'!#REF!,8,FALSE)),"",VLOOKUP($A272,'Plano de Contas'!#REF!,8,FALSE))</f>
        <v/>
      </c>
      <c r="P272" s="6" t="str">
        <f>IF(ISERROR(VLOOKUP($A272,'Plano de Contas'!#REF!,10,FALSE)),"",VLOOKUP($A272,'Plano de Contas'!#REF!,10,FALSE))</f>
        <v/>
      </c>
      <c r="R272" s="6" t="e">
        <f>VLOOKUP(A272,'Plano de Contas'!#REF!,12,FALSE)</f>
        <v>#REF!</v>
      </c>
      <c r="T272" s="6" t="e">
        <f>VLOOKUP(A272,'Plano de Contas'!#REF!,13,FALSE)</f>
        <v>#REF!</v>
      </c>
    </row>
    <row r="273" spans="1:20" s="5" customFormat="1" x14ac:dyDescent="0.25">
      <c r="A273" t="s">
        <v>533</v>
      </c>
      <c r="B273">
        <v>130</v>
      </c>
      <c r="C273" t="s">
        <v>534</v>
      </c>
      <c r="D273" s="10">
        <v>18479.599999999999</v>
      </c>
      <c r="E273"/>
      <c r="F273" s="10">
        <v>26203.01</v>
      </c>
      <c r="G273"/>
      <c r="H273" s="10">
        <v>-44682.61</v>
      </c>
      <c r="I273"/>
      <c r="J273" s="10">
        <v>0</v>
      </c>
      <c r="K273"/>
      <c r="L273" s="1">
        <f t="shared" si="4"/>
        <v>0</v>
      </c>
      <c r="N273" s="6" t="str">
        <f>IF(ISERROR(VLOOKUP($A273,'Plano de Contas'!#REF!,8,FALSE)),"",VLOOKUP($A273,'Plano de Contas'!#REF!,8,FALSE))</f>
        <v/>
      </c>
      <c r="P273" s="6" t="str">
        <f>IF(ISERROR(VLOOKUP($A273,'Plano de Contas'!#REF!,10,FALSE)),"",VLOOKUP($A273,'Plano de Contas'!#REF!,10,FALSE))</f>
        <v/>
      </c>
      <c r="R273" s="6" t="e">
        <f>VLOOKUP(A273,'Plano de Contas'!#REF!,12,FALSE)</f>
        <v>#REF!</v>
      </c>
      <c r="T273" s="6" t="e">
        <f>VLOOKUP(A273,'Plano de Contas'!#REF!,13,FALSE)</f>
        <v>#REF!</v>
      </c>
    </row>
    <row r="274" spans="1:20" s="5" customFormat="1" x14ac:dyDescent="0.25">
      <c r="A274" t="s">
        <v>535</v>
      </c>
      <c r="B274">
        <v>132</v>
      </c>
      <c r="C274" t="s">
        <v>536</v>
      </c>
      <c r="D274" s="10">
        <v>-0.06</v>
      </c>
      <c r="E274"/>
      <c r="F274" s="10">
        <v>0</v>
      </c>
      <c r="G274"/>
      <c r="H274" s="10">
        <v>-21527.65</v>
      </c>
      <c r="I274"/>
      <c r="J274" s="10">
        <v>-21527.71</v>
      </c>
      <c r="K274"/>
      <c r="L274" s="1">
        <f t="shared" si="4"/>
        <v>-21527.71</v>
      </c>
      <c r="N274" s="6" t="str">
        <f>IF(ISERROR(VLOOKUP($A274,'Plano de Contas'!#REF!,8,FALSE)),"",VLOOKUP($A274,'Plano de Contas'!#REF!,8,FALSE))</f>
        <v/>
      </c>
      <c r="P274" s="6" t="str">
        <f>IF(ISERROR(VLOOKUP($A274,'Plano de Contas'!#REF!,10,FALSE)),"",VLOOKUP($A274,'Plano de Contas'!#REF!,10,FALSE))</f>
        <v/>
      </c>
      <c r="R274" s="6" t="e">
        <f>VLOOKUP(A274,'Plano de Contas'!#REF!,12,FALSE)</f>
        <v>#REF!</v>
      </c>
      <c r="T274" s="6" t="e">
        <f>VLOOKUP(A274,'Plano de Contas'!#REF!,13,FALSE)</f>
        <v>#REF!</v>
      </c>
    </row>
    <row r="275" spans="1:20" s="5" customFormat="1" x14ac:dyDescent="0.25">
      <c r="A275"/>
      <c r="B275"/>
      <c r="C275"/>
      <c r="D275" s="10"/>
      <c r="E275"/>
      <c r="F275" s="10"/>
      <c r="G275"/>
      <c r="H275" s="10"/>
      <c r="I275"/>
      <c r="J275" s="10"/>
      <c r="K275"/>
      <c r="L275" s="1">
        <f t="shared" si="4"/>
        <v>0</v>
      </c>
      <c r="N275" s="6" t="str">
        <f>IF(ISERROR(VLOOKUP($A275,'Plano de Contas'!#REF!,8,FALSE)),"",VLOOKUP($A275,'Plano de Contas'!#REF!,8,FALSE))</f>
        <v/>
      </c>
      <c r="P275" s="6" t="str">
        <f>IF(ISERROR(VLOOKUP($A275,'Plano de Contas'!#REF!,10,FALSE)),"",VLOOKUP($A275,'Plano de Contas'!#REF!,10,FALSE))</f>
        <v/>
      </c>
      <c r="R275" s="6" t="e">
        <f>VLOOKUP(A275,'Plano de Contas'!#REF!,12,FALSE)</f>
        <v>#REF!</v>
      </c>
      <c r="T275" s="6" t="e">
        <f>VLOOKUP(A275,'Plano de Contas'!#REF!,13,FALSE)</f>
        <v>#REF!</v>
      </c>
    </row>
    <row r="276" spans="1:20" s="5" customFormat="1" x14ac:dyDescent="0.25">
      <c r="A276" t="s">
        <v>537</v>
      </c>
      <c r="B276">
        <v>133</v>
      </c>
      <c r="C276" t="s">
        <v>538</v>
      </c>
      <c r="D276" s="10">
        <v>949332.95</v>
      </c>
      <c r="E276" t="s">
        <v>35</v>
      </c>
      <c r="F276" s="10">
        <v>1618662.54</v>
      </c>
      <c r="G276"/>
      <c r="H276" s="10">
        <v>1890206.86</v>
      </c>
      <c r="I276" t="s">
        <v>35</v>
      </c>
      <c r="J276" s="10">
        <v>1220877.27</v>
      </c>
      <c r="K276" t="s">
        <v>35</v>
      </c>
      <c r="L276" s="1">
        <f t="shared" si="4"/>
        <v>-1220877.27</v>
      </c>
      <c r="N276" s="6" t="str">
        <f>IF(ISERROR(VLOOKUP($A276,'Plano de Contas'!#REF!,8,FALSE)),"",VLOOKUP($A276,'Plano de Contas'!#REF!,8,FALSE))</f>
        <v/>
      </c>
      <c r="P276" s="6" t="str">
        <f>IF(ISERROR(VLOOKUP($A276,'Plano de Contas'!#REF!,10,FALSE)),"",VLOOKUP($A276,'Plano de Contas'!#REF!,10,FALSE))</f>
        <v/>
      </c>
      <c r="R276" s="6" t="e">
        <f>VLOOKUP(A276,'Plano de Contas'!#REF!,12,FALSE)</f>
        <v>#REF!</v>
      </c>
      <c r="T276" s="6" t="e">
        <f>VLOOKUP(A276,'Plano de Contas'!#REF!,13,FALSE)</f>
        <v>#REF!</v>
      </c>
    </row>
    <row r="277" spans="1:20" s="5" customFormat="1" x14ac:dyDescent="0.25">
      <c r="A277" t="s">
        <v>539</v>
      </c>
      <c r="B277">
        <v>134</v>
      </c>
      <c r="C277" t="s">
        <v>540</v>
      </c>
      <c r="D277" s="10">
        <v>949332.95</v>
      </c>
      <c r="E277" t="s">
        <v>35</v>
      </c>
      <c r="F277" s="10">
        <v>1618662.54</v>
      </c>
      <c r="G277"/>
      <c r="H277" s="10">
        <v>1639372.04</v>
      </c>
      <c r="I277" t="s">
        <v>35</v>
      </c>
      <c r="J277" s="10">
        <v>970042.45</v>
      </c>
      <c r="K277" t="s">
        <v>35</v>
      </c>
      <c r="L277" s="1">
        <f t="shared" si="4"/>
        <v>-970042.45</v>
      </c>
      <c r="N277" s="6" t="str">
        <f>IF(ISERROR(VLOOKUP($A277,'Plano de Contas'!#REF!,8,FALSE)),"",VLOOKUP($A277,'Plano de Contas'!#REF!,8,FALSE))</f>
        <v/>
      </c>
      <c r="P277" s="6" t="str">
        <f>IF(ISERROR(VLOOKUP($A277,'Plano de Contas'!#REF!,10,FALSE)),"",VLOOKUP($A277,'Plano de Contas'!#REF!,10,FALSE))</f>
        <v/>
      </c>
      <c r="R277" s="6" t="e">
        <f>VLOOKUP(A277,'Plano de Contas'!#REF!,12,FALSE)</f>
        <v>#REF!</v>
      </c>
      <c r="T277" s="6" t="e">
        <f>VLOOKUP(A277,'Plano de Contas'!#REF!,13,FALSE)</f>
        <v>#REF!</v>
      </c>
    </row>
    <row r="278" spans="1:20" s="5" customFormat="1" x14ac:dyDescent="0.25">
      <c r="A278" t="s">
        <v>541</v>
      </c>
      <c r="B278">
        <v>135</v>
      </c>
      <c r="C278" t="s">
        <v>542</v>
      </c>
      <c r="D278" s="10">
        <v>0</v>
      </c>
      <c r="E278"/>
      <c r="F278" s="10">
        <v>0</v>
      </c>
      <c r="G278"/>
      <c r="H278" s="10">
        <v>250834.82</v>
      </c>
      <c r="I278" t="s">
        <v>35</v>
      </c>
      <c r="J278" s="10">
        <v>250834.82</v>
      </c>
      <c r="K278" t="s">
        <v>35</v>
      </c>
      <c r="L278" s="1">
        <f t="shared" si="4"/>
        <v>-250834.82</v>
      </c>
      <c r="N278" s="6" t="str">
        <f>IF(ISERROR(VLOOKUP($A278,'Plano de Contas'!#REF!,8,FALSE)),"",VLOOKUP($A278,'Plano de Contas'!#REF!,8,FALSE))</f>
        <v/>
      </c>
      <c r="P278" s="6" t="str">
        <f>IF(ISERROR(VLOOKUP($A278,'Plano de Contas'!#REF!,10,FALSE)),"",VLOOKUP($A278,'Plano de Contas'!#REF!,10,FALSE))</f>
        <v/>
      </c>
      <c r="R278" s="6" t="e">
        <f>VLOOKUP(A278,'Plano de Contas'!#REF!,12,FALSE)</f>
        <v>#REF!</v>
      </c>
      <c r="T278" s="6" t="e">
        <f>VLOOKUP(A278,'Plano de Contas'!#REF!,13,FALSE)</f>
        <v>#REF!</v>
      </c>
    </row>
    <row r="279" spans="1:20" s="5" customFormat="1" x14ac:dyDescent="0.25">
      <c r="A279"/>
      <c r="B279"/>
      <c r="C279"/>
      <c r="D279" s="10"/>
      <c r="E279"/>
      <c r="F279" s="10"/>
      <c r="G279"/>
      <c r="H279" s="10"/>
      <c r="I279"/>
      <c r="J279" s="10"/>
      <c r="K279"/>
      <c r="L279" s="1">
        <f t="shared" si="4"/>
        <v>0</v>
      </c>
      <c r="N279" s="6" t="str">
        <f>IF(ISERROR(VLOOKUP($A279,'Plano de Contas'!#REF!,8,FALSE)),"",VLOOKUP($A279,'Plano de Contas'!#REF!,8,FALSE))</f>
        <v/>
      </c>
      <c r="P279" s="6" t="str">
        <f>IF(ISERROR(VLOOKUP($A279,'Plano de Contas'!#REF!,10,FALSE)),"",VLOOKUP($A279,'Plano de Contas'!#REF!,10,FALSE))</f>
        <v/>
      </c>
      <c r="R279" s="6" t="e">
        <f>VLOOKUP(A279,'Plano de Contas'!#REF!,12,FALSE)</f>
        <v>#REF!</v>
      </c>
      <c r="T279" s="6" t="e">
        <f>VLOOKUP(A279,'Plano de Contas'!#REF!,13,FALSE)</f>
        <v>#REF!</v>
      </c>
    </row>
    <row r="280" spans="1:20" s="5" customFormat="1" x14ac:dyDescent="0.25">
      <c r="A280" t="s">
        <v>543</v>
      </c>
      <c r="B280">
        <v>136</v>
      </c>
      <c r="C280" t="s">
        <v>544</v>
      </c>
      <c r="D280" s="10">
        <v>2625832.21</v>
      </c>
      <c r="E280" t="s">
        <v>35</v>
      </c>
      <c r="F280" s="10">
        <v>2141556.67</v>
      </c>
      <c r="G280"/>
      <c r="H280" s="10">
        <v>4679991.43</v>
      </c>
      <c r="I280" t="s">
        <v>35</v>
      </c>
      <c r="J280" s="10">
        <v>5164266.97</v>
      </c>
      <c r="K280" t="s">
        <v>35</v>
      </c>
      <c r="L280" s="1">
        <f t="shared" si="4"/>
        <v>-5164266.97</v>
      </c>
      <c r="N280" s="6" t="str">
        <f>IF(ISERROR(VLOOKUP($A280,'Plano de Contas'!#REF!,8,FALSE)),"",VLOOKUP($A280,'Plano de Contas'!#REF!,8,FALSE))</f>
        <v/>
      </c>
      <c r="P280" s="6" t="str">
        <f>IF(ISERROR(VLOOKUP($A280,'Plano de Contas'!#REF!,10,FALSE)),"",VLOOKUP($A280,'Plano de Contas'!#REF!,10,FALSE))</f>
        <v/>
      </c>
      <c r="R280" s="6" t="e">
        <f>VLOOKUP(A280,'Plano de Contas'!#REF!,12,FALSE)</f>
        <v>#REF!</v>
      </c>
      <c r="T280" s="6" t="e">
        <f>VLOOKUP(A280,'Plano de Contas'!#REF!,13,FALSE)</f>
        <v>#REF!</v>
      </c>
    </row>
    <row r="281" spans="1:20" s="5" customFormat="1" x14ac:dyDescent="0.25">
      <c r="A281" t="s">
        <v>545</v>
      </c>
      <c r="B281">
        <v>137</v>
      </c>
      <c r="C281" t="s">
        <v>546</v>
      </c>
      <c r="D281" s="10">
        <v>49101.61</v>
      </c>
      <c r="E281" t="s">
        <v>35</v>
      </c>
      <c r="F281" s="10">
        <v>44725.07</v>
      </c>
      <c r="G281"/>
      <c r="H281" s="10">
        <v>71004.78</v>
      </c>
      <c r="I281" t="s">
        <v>35</v>
      </c>
      <c r="J281" s="10">
        <v>75381.320000000007</v>
      </c>
      <c r="K281" t="s">
        <v>35</v>
      </c>
      <c r="L281" s="1">
        <f t="shared" si="4"/>
        <v>-75381.320000000007</v>
      </c>
      <c r="N281" s="6" t="str">
        <f>IF(ISERROR(VLOOKUP($A281,'Plano de Contas'!#REF!,8,FALSE)),"",VLOOKUP($A281,'Plano de Contas'!#REF!,8,FALSE))</f>
        <v/>
      </c>
      <c r="P281" s="6" t="str">
        <f>IF(ISERROR(VLOOKUP($A281,'Plano de Contas'!#REF!,10,FALSE)),"",VLOOKUP($A281,'Plano de Contas'!#REF!,10,FALSE))</f>
        <v/>
      </c>
      <c r="R281" s="6" t="e">
        <f>VLOOKUP(A281,'Plano de Contas'!#REF!,12,FALSE)</f>
        <v>#REF!</v>
      </c>
      <c r="T281" s="6" t="e">
        <f>VLOOKUP(A281,'Plano de Contas'!#REF!,13,FALSE)</f>
        <v>#REF!</v>
      </c>
    </row>
    <row r="282" spans="1:20" s="5" customFormat="1" x14ac:dyDescent="0.25">
      <c r="A282" t="s">
        <v>547</v>
      </c>
      <c r="B282">
        <v>138</v>
      </c>
      <c r="C282" t="s">
        <v>548</v>
      </c>
      <c r="D282" s="10">
        <v>-179.11</v>
      </c>
      <c r="E282"/>
      <c r="F282">
        <v>0</v>
      </c>
      <c r="G282"/>
      <c r="H282" s="10">
        <v>-1668.51</v>
      </c>
      <c r="I282"/>
      <c r="J282" s="10">
        <v>-1847.62</v>
      </c>
      <c r="K282"/>
      <c r="L282" s="1">
        <f t="shared" si="4"/>
        <v>-1847.62</v>
      </c>
      <c r="N282" s="6" t="str">
        <f>IF(ISERROR(VLOOKUP($A282,'Plano de Contas'!#REF!,8,FALSE)),"",VLOOKUP($A282,'Plano de Contas'!#REF!,8,FALSE))</f>
        <v/>
      </c>
      <c r="P282" s="6" t="str">
        <f>IF(ISERROR(VLOOKUP($A282,'Plano de Contas'!#REF!,10,FALSE)),"",VLOOKUP($A282,'Plano de Contas'!#REF!,10,FALSE))</f>
        <v/>
      </c>
      <c r="R282" s="6" t="e">
        <f>VLOOKUP(A282,'Plano de Contas'!#REF!,12,FALSE)</f>
        <v>#REF!</v>
      </c>
      <c r="T282" s="6" t="e">
        <f>VLOOKUP(A282,'Plano de Contas'!#REF!,13,FALSE)</f>
        <v>#REF!</v>
      </c>
    </row>
    <row r="283" spans="1:20" s="5" customFormat="1" x14ac:dyDescent="0.25">
      <c r="A283" t="s">
        <v>549</v>
      </c>
      <c r="B283">
        <v>139</v>
      </c>
      <c r="C283" t="s">
        <v>550</v>
      </c>
      <c r="D283" s="10">
        <v>322144.82</v>
      </c>
      <c r="E283" t="s">
        <v>35</v>
      </c>
      <c r="F283" s="10">
        <v>575460.25</v>
      </c>
      <c r="G283"/>
      <c r="H283" s="10">
        <v>564492.27</v>
      </c>
      <c r="I283" t="s">
        <v>35</v>
      </c>
      <c r="J283" s="10">
        <v>311176.84000000003</v>
      </c>
      <c r="K283" t="s">
        <v>35</v>
      </c>
      <c r="L283" s="1">
        <f t="shared" si="4"/>
        <v>-311176.84000000003</v>
      </c>
      <c r="N283" s="6" t="str">
        <f>IF(ISERROR(VLOOKUP($A283,'Plano de Contas'!#REF!,8,FALSE)),"",VLOOKUP($A283,'Plano de Contas'!#REF!,8,FALSE))</f>
        <v/>
      </c>
      <c r="P283" s="6" t="str">
        <f>IF(ISERROR(VLOOKUP($A283,'Plano de Contas'!#REF!,10,FALSE)),"",VLOOKUP($A283,'Plano de Contas'!#REF!,10,FALSE))</f>
        <v/>
      </c>
      <c r="R283" s="6" t="e">
        <f>VLOOKUP(A283,'Plano de Contas'!#REF!,12,FALSE)</f>
        <v>#REF!</v>
      </c>
      <c r="T283" s="6" t="e">
        <f>VLOOKUP(A283,'Plano de Contas'!#REF!,13,FALSE)</f>
        <v>#REF!</v>
      </c>
    </row>
    <row r="284" spans="1:20" s="5" customFormat="1" x14ac:dyDescent="0.25">
      <c r="A284" t="s">
        <v>551</v>
      </c>
      <c r="B284">
        <v>142</v>
      </c>
      <c r="C284" t="s">
        <v>552</v>
      </c>
      <c r="D284" s="10">
        <v>164138.97</v>
      </c>
      <c r="E284" t="s">
        <v>35</v>
      </c>
      <c r="F284" s="10">
        <v>177610.25</v>
      </c>
      <c r="G284"/>
      <c r="H284" s="10">
        <v>240039.46</v>
      </c>
      <c r="I284" t="s">
        <v>35</v>
      </c>
      <c r="J284" s="10">
        <v>226568.18</v>
      </c>
      <c r="K284" t="s">
        <v>35</v>
      </c>
      <c r="L284" s="1">
        <f t="shared" si="4"/>
        <v>-226568.18</v>
      </c>
      <c r="N284" s="6" t="str">
        <f>IF(ISERROR(VLOOKUP($A284,'Plano de Contas'!#REF!,8,FALSE)),"",VLOOKUP($A284,'Plano de Contas'!#REF!,8,FALSE))</f>
        <v/>
      </c>
      <c r="P284" s="6" t="str">
        <f>IF(ISERROR(VLOOKUP($A284,'Plano de Contas'!#REF!,10,FALSE)),"",VLOOKUP($A284,'Plano de Contas'!#REF!,10,FALSE))</f>
        <v/>
      </c>
      <c r="R284" s="6" t="e">
        <f>VLOOKUP(A284,'Plano de Contas'!#REF!,12,FALSE)</f>
        <v>#REF!</v>
      </c>
      <c r="T284" s="6" t="e">
        <f>VLOOKUP(A284,'Plano de Contas'!#REF!,13,FALSE)</f>
        <v>#REF!</v>
      </c>
    </row>
    <row r="285" spans="1:20" s="5" customFormat="1" x14ac:dyDescent="0.25">
      <c r="A285" t="s">
        <v>553</v>
      </c>
      <c r="B285">
        <v>143</v>
      </c>
      <c r="C285" t="s">
        <v>554</v>
      </c>
      <c r="D285" s="10">
        <v>761377.61</v>
      </c>
      <c r="E285" t="s">
        <v>35</v>
      </c>
      <c r="F285" s="10">
        <v>825846.42</v>
      </c>
      <c r="G285"/>
      <c r="H285" s="10">
        <v>1115192.99</v>
      </c>
      <c r="I285" t="s">
        <v>35</v>
      </c>
      <c r="J285" s="10">
        <v>1050724.18</v>
      </c>
      <c r="K285" t="s">
        <v>35</v>
      </c>
      <c r="L285" s="1">
        <f t="shared" si="4"/>
        <v>-1050724.18</v>
      </c>
      <c r="N285" s="6" t="str">
        <f>IF(ISERROR(VLOOKUP($A285,'Plano de Contas'!#REF!,8,FALSE)),"",VLOOKUP($A285,'Plano de Contas'!#REF!,8,FALSE))</f>
        <v/>
      </c>
      <c r="P285" s="6" t="str">
        <f>IF(ISERROR(VLOOKUP($A285,'Plano de Contas'!#REF!,10,FALSE)),"",VLOOKUP($A285,'Plano de Contas'!#REF!,10,FALSE))</f>
        <v/>
      </c>
      <c r="R285" s="6" t="e">
        <f>VLOOKUP(A285,'Plano de Contas'!#REF!,12,FALSE)</f>
        <v>#REF!</v>
      </c>
      <c r="T285" s="6" t="e">
        <f>VLOOKUP(A285,'Plano de Contas'!#REF!,13,FALSE)</f>
        <v>#REF!</v>
      </c>
    </row>
    <row r="286" spans="1:20" s="5" customFormat="1" x14ac:dyDescent="0.25">
      <c r="A286" t="s">
        <v>555</v>
      </c>
      <c r="B286">
        <v>144</v>
      </c>
      <c r="C286" t="s">
        <v>556</v>
      </c>
      <c r="D286" s="10">
        <v>-89672.79</v>
      </c>
      <c r="E286"/>
      <c r="F286" s="10">
        <v>139340.96</v>
      </c>
      <c r="G286"/>
      <c r="H286" s="10">
        <v>-341110.51</v>
      </c>
      <c r="I286"/>
      <c r="J286" s="10">
        <v>-291442.34000000003</v>
      </c>
      <c r="K286"/>
      <c r="L286" s="1">
        <f t="shared" si="4"/>
        <v>-291442.34000000003</v>
      </c>
      <c r="N286" s="6" t="str">
        <f>IF(ISERROR(VLOOKUP($A286,'Plano de Contas'!#REF!,8,FALSE)),"",VLOOKUP($A286,'Plano de Contas'!#REF!,8,FALSE))</f>
        <v/>
      </c>
      <c r="P286" s="6" t="str">
        <f>IF(ISERROR(VLOOKUP($A286,'Plano de Contas'!#REF!,10,FALSE)),"",VLOOKUP($A286,'Plano de Contas'!#REF!,10,FALSE))</f>
        <v/>
      </c>
      <c r="R286" s="6" t="e">
        <f>VLOOKUP(A286,'Plano de Contas'!#REF!,12,FALSE)</f>
        <v>#REF!</v>
      </c>
      <c r="T286" s="6" t="e">
        <f>VLOOKUP(A286,'Plano de Contas'!#REF!,13,FALSE)</f>
        <v>#REF!</v>
      </c>
    </row>
    <row r="287" spans="1:20" s="5" customFormat="1" x14ac:dyDescent="0.25">
      <c r="A287" t="s">
        <v>557</v>
      </c>
      <c r="B287">
        <v>145</v>
      </c>
      <c r="C287" t="s">
        <v>558</v>
      </c>
      <c r="D287" s="10">
        <v>136767.03</v>
      </c>
      <c r="E287" t="s">
        <v>35</v>
      </c>
      <c r="F287" s="10">
        <v>170089.77</v>
      </c>
      <c r="G287"/>
      <c r="H287" s="10">
        <v>387263.89</v>
      </c>
      <c r="I287" t="s">
        <v>35</v>
      </c>
      <c r="J287" s="10">
        <v>353941.15</v>
      </c>
      <c r="K287" t="s">
        <v>35</v>
      </c>
      <c r="L287" s="1">
        <f t="shared" si="4"/>
        <v>-353941.15</v>
      </c>
      <c r="N287" s="6" t="str">
        <f>IF(ISERROR(VLOOKUP($A287,'Plano de Contas'!#REF!,8,FALSE)),"",VLOOKUP($A287,'Plano de Contas'!#REF!,8,FALSE))</f>
        <v/>
      </c>
      <c r="P287" s="6" t="str">
        <f>IF(ISERROR(VLOOKUP($A287,'Plano de Contas'!#REF!,10,FALSE)),"",VLOOKUP($A287,'Plano de Contas'!#REF!,10,FALSE))</f>
        <v/>
      </c>
      <c r="R287" s="6" t="e">
        <f>VLOOKUP(A287,'Plano de Contas'!#REF!,12,FALSE)</f>
        <v>#REF!</v>
      </c>
      <c r="T287" s="6" t="e">
        <f>VLOOKUP(A287,'Plano de Contas'!#REF!,13,FALSE)</f>
        <v>#REF!</v>
      </c>
    </row>
    <row r="288" spans="1:20" s="5" customFormat="1" x14ac:dyDescent="0.25">
      <c r="A288" t="s">
        <v>559</v>
      </c>
      <c r="B288">
        <v>511</v>
      </c>
      <c r="C288" t="s">
        <v>560</v>
      </c>
      <c r="D288" s="10">
        <v>280653.53999999998</v>
      </c>
      <c r="E288" t="s">
        <v>35</v>
      </c>
      <c r="F288" s="10">
        <v>0</v>
      </c>
      <c r="G288"/>
      <c r="H288" s="10">
        <v>0</v>
      </c>
      <c r="I288"/>
      <c r="J288" s="10">
        <v>280653.53999999998</v>
      </c>
      <c r="K288" t="s">
        <v>35</v>
      </c>
      <c r="L288" s="1">
        <f t="shared" si="4"/>
        <v>-280653.53999999998</v>
      </c>
      <c r="N288" s="6" t="str">
        <f>IF(ISERROR(VLOOKUP($A288,'Plano de Contas'!#REF!,8,FALSE)),"",VLOOKUP($A288,'Plano de Contas'!#REF!,8,FALSE))</f>
        <v/>
      </c>
      <c r="P288" s="6" t="str">
        <f>IF(ISERROR(VLOOKUP($A288,'Plano de Contas'!#REF!,10,FALSE)),"",VLOOKUP($A288,'Plano de Contas'!#REF!,10,FALSE))</f>
        <v/>
      </c>
      <c r="R288" s="6" t="e">
        <f>VLOOKUP(A288,'Plano de Contas'!#REF!,12,FALSE)</f>
        <v>#REF!</v>
      </c>
      <c r="T288" s="6" t="e">
        <f>VLOOKUP(A288,'Plano de Contas'!#REF!,13,FALSE)</f>
        <v>#REF!</v>
      </c>
    </row>
    <row r="289" spans="1:20" s="5" customFormat="1" x14ac:dyDescent="0.25">
      <c r="A289" t="s">
        <v>561</v>
      </c>
      <c r="B289">
        <v>512</v>
      </c>
      <c r="C289" t="s">
        <v>562</v>
      </c>
      <c r="D289" s="10">
        <v>432606.09</v>
      </c>
      <c r="E289" t="s">
        <v>35</v>
      </c>
      <c r="F289" s="10">
        <v>0</v>
      </c>
      <c r="G289"/>
      <c r="H289" s="10">
        <v>0</v>
      </c>
      <c r="I289"/>
      <c r="J289" s="10">
        <v>432606.09</v>
      </c>
      <c r="K289" t="s">
        <v>35</v>
      </c>
      <c r="L289" s="1">
        <f t="shared" si="4"/>
        <v>-432606.09</v>
      </c>
      <c r="N289" s="6" t="str">
        <f>IF(ISERROR(VLOOKUP($A289,'Plano de Contas'!#REF!,8,FALSE)),"",VLOOKUP($A289,'Plano de Contas'!#REF!,8,FALSE))</f>
        <v/>
      </c>
      <c r="P289" s="6" t="str">
        <f>IF(ISERROR(VLOOKUP($A289,'Plano de Contas'!#REF!,10,FALSE)),"",VLOOKUP($A289,'Plano de Contas'!#REF!,10,FALSE))</f>
        <v/>
      </c>
      <c r="R289" s="6" t="e">
        <f>VLOOKUP(A289,'Plano de Contas'!#REF!,12,FALSE)</f>
        <v>#REF!</v>
      </c>
      <c r="T289" s="6" t="e">
        <f>VLOOKUP(A289,'Plano de Contas'!#REF!,13,FALSE)</f>
        <v>#REF!</v>
      </c>
    </row>
    <row r="290" spans="1:20" s="5" customFormat="1" x14ac:dyDescent="0.25">
      <c r="A290" t="s">
        <v>563</v>
      </c>
      <c r="B290">
        <v>627</v>
      </c>
      <c r="C290" t="s">
        <v>564</v>
      </c>
      <c r="D290" s="10">
        <v>750</v>
      </c>
      <c r="E290" t="s">
        <v>35</v>
      </c>
      <c r="F290" s="10">
        <v>0</v>
      </c>
      <c r="G290"/>
      <c r="H290" s="10">
        <v>0</v>
      </c>
      <c r="I290"/>
      <c r="J290" s="10">
        <v>750</v>
      </c>
      <c r="K290" t="s">
        <v>35</v>
      </c>
      <c r="L290" s="1">
        <f t="shared" si="4"/>
        <v>-750</v>
      </c>
      <c r="N290" s="6" t="str">
        <f>IF(ISERROR(VLOOKUP($A290,'Plano de Contas'!#REF!,8,FALSE)),"",VLOOKUP($A290,'Plano de Contas'!#REF!,8,FALSE))</f>
        <v/>
      </c>
      <c r="P290" s="6" t="str">
        <f>IF(ISERROR(VLOOKUP($A290,'Plano de Contas'!#REF!,10,FALSE)),"",VLOOKUP($A290,'Plano de Contas'!#REF!,10,FALSE))</f>
        <v/>
      </c>
      <c r="R290" s="6" t="e">
        <f>VLOOKUP(A290,'Plano de Contas'!#REF!,12,FALSE)</f>
        <v>#REF!</v>
      </c>
      <c r="T290" s="6" t="e">
        <f>VLOOKUP(A290,'Plano de Contas'!#REF!,13,FALSE)</f>
        <v>#REF!</v>
      </c>
    </row>
    <row r="291" spans="1:20" s="5" customFormat="1" x14ac:dyDescent="0.25">
      <c r="A291" t="s">
        <v>565</v>
      </c>
      <c r="B291">
        <v>147</v>
      </c>
      <c r="C291" t="s">
        <v>566</v>
      </c>
      <c r="D291" s="10">
        <v>146899.21</v>
      </c>
      <c r="E291" t="s">
        <v>35</v>
      </c>
      <c r="F291" s="10">
        <v>146899.23000000001</v>
      </c>
      <c r="G291"/>
      <c r="H291" s="10">
        <v>164078.99</v>
      </c>
      <c r="I291" t="s">
        <v>35</v>
      </c>
      <c r="J291" s="10">
        <v>164078.97</v>
      </c>
      <c r="K291" t="s">
        <v>35</v>
      </c>
      <c r="L291" s="1">
        <f t="shared" si="4"/>
        <v>-164078.97</v>
      </c>
      <c r="N291" s="6" t="str">
        <f>IF(ISERROR(VLOOKUP($A291,'Plano de Contas'!#REF!,8,FALSE)),"",VLOOKUP($A291,'Plano de Contas'!#REF!,8,FALSE))</f>
        <v/>
      </c>
      <c r="P291" s="6" t="str">
        <f>IF(ISERROR(VLOOKUP($A291,'Plano de Contas'!#REF!,10,FALSE)),"",VLOOKUP($A291,'Plano de Contas'!#REF!,10,FALSE))</f>
        <v/>
      </c>
      <c r="R291" s="6" t="e">
        <f>VLOOKUP(A291,'Plano de Contas'!#REF!,12,FALSE)</f>
        <v>#REF!</v>
      </c>
      <c r="T291" s="6" t="e">
        <f>VLOOKUP(A291,'Plano de Contas'!#REF!,13,FALSE)</f>
        <v>#REF!</v>
      </c>
    </row>
    <row r="292" spans="1:20" s="5" customFormat="1" x14ac:dyDescent="0.25">
      <c r="A292" t="s">
        <v>1189</v>
      </c>
      <c r="B292">
        <v>937</v>
      </c>
      <c r="C292" t="s">
        <v>1190</v>
      </c>
      <c r="D292" s="10">
        <v>0</v>
      </c>
      <c r="E292"/>
      <c r="F292">
        <v>0</v>
      </c>
      <c r="G292"/>
      <c r="H292" s="10">
        <v>1312262.8500000001</v>
      </c>
      <c r="I292" t="s">
        <v>35</v>
      </c>
      <c r="J292" s="10">
        <v>1312262.8500000001</v>
      </c>
      <c r="K292" t="s">
        <v>35</v>
      </c>
      <c r="L292" s="1">
        <f t="shared" si="4"/>
        <v>-1312262.8500000001</v>
      </c>
      <c r="N292" s="6" t="str">
        <f>IF(ISERROR(VLOOKUP($A292,'Plano de Contas'!#REF!,8,FALSE)),"",VLOOKUP($A292,'Plano de Contas'!#REF!,8,FALSE))</f>
        <v/>
      </c>
      <c r="P292" s="6" t="str">
        <f>IF(ISERROR(VLOOKUP($A292,'Plano de Contas'!#REF!,10,FALSE)),"",VLOOKUP($A292,'Plano de Contas'!#REF!,10,FALSE))</f>
        <v/>
      </c>
      <c r="R292" s="6" t="e">
        <f>VLOOKUP(A292,'Plano de Contas'!#REF!,12,FALSE)</f>
        <v>#REF!</v>
      </c>
      <c r="T292" s="6" t="e">
        <f>VLOOKUP(A292,'Plano de Contas'!#REF!,13,FALSE)</f>
        <v>#REF!</v>
      </c>
    </row>
    <row r="293" spans="1:20" s="5" customFormat="1" x14ac:dyDescent="0.25">
      <c r="A293" t="s">
        <v>1191</v>
      </c>
      <c r="B293">
        <v>938</v>
      </c>
      <c r="C293" t="s">
        <v>1192</v>
      </c>
      <c r="D293" s="10">
        <v>241541.43</v>
      </c>
      <c r="E293" t="s">
        <v>35</v>
      </c>
      <c r="F293" s="10">
        <v>61584.72</v>
      </c>
      <c r="G293"/>
      <c r="H293" s="10">
        <v>482877.18</v>
      </c>
      <c r="I293" t="s">
        <v>35</v>
      </c>
      <c r="J293" s="10">
        <v>662833.89</v>
      </c>
      <c r="K293" t="s">
        <v>35</v>
      </c>
      <c r="L293" s="1">
        <f t="shared" si="4"/>
        <v>-662833.89</v>
      </c>
      <c r="N293" s="6" t="str">
        <f>IF(ISERROR(VLOOKUP($A293,'Plano de Contas'!#REF!,8,FALSE)),"",VLOOKUP($A293,'Plano de Contas'!#REF!,8,FALSE))</f>
        <v/>
      </c>
      <c r="P293" s="6" t="str">
        <f>IF(ISERROR(VLOOKUP($A293,'Plano de Contas'!#REF!,10,FALSE)),"",VLOOKUP($A293,'Plano de Contas'!#REF!,10,FALSE))</f>
        <v/>
      </c>
      <c r="R293" s="6" t="e">
        <f>VLOOKUP(A293,'Plano de Contas'!#REF!,12,FALSE)</f>
        <v>#REF!</v>
      </c>
      <c r="T293" s="6" t="e">
        <f>VLOOKUP(A293,'Plano de Contas'!#REF!,13,FALSE)</f>
        <v>#REF!</v>
      </c>
    </row>
    <row r="294" spans="1:20" s="5" customFormat="1" x14ac:dyDescent="0.25">
      <c r="A294"/>
      <c r="B294"/>
      <c r="C294"/>
      <c r="D294" s="10"/>
      <c r="E294"/>
      <c r="F294" s="10"/>
      <c r="G294"/>
      <c r="H294" s="10"/>
      <c r="I294"/>
      <c r="J294" s="10"/>
      <c r="K294"/>
      <c r="L294" s="1">
        <f t="shared" si="4"/>
        <v>0</v>
      </c>
      <c r="N294" s="6" t="str">
        <f>IF(ISERROR(VLOOKUP($A294,'Plano de Contas'!#REF!,8,FALSE)),"",VLOOKUP($A294,'Plano de Contas'!#REF!,8,FALSE))</f>
        <v/>
      </c>
      <c r="P294" s="6" t="str">
        <f>IF(ISERROR(VLOOKUP($A294,'Plano de Contas'!#REF!,10,FALSE)),"",VLOOKUP($A294,'Plano de Contas'!#REF!,10,FALSE))</f>
        <v/>
      </c>
      <c r="R294" s="6" t="e">
        <f>VLOOKUP(A294,'Plano de Contas'!#REF!,12,FALSE)</f>
        <v>#REF!</v>
      </c>
      <c r="T294" s="6" t="e">
        <f>VLOOKUP(A294,'Plano de Contas'!#REF!,13,FALSE)</f>
        <v>#REF!</v>
      </c>
    </row>
    <row r="295" spans="1:20" s="5" customFormat="1" x14ac:dyDescent="0.25">
      <c r="A295" t="s">
        <v>571</v>
      </c>
      <c r="B295">
        <v>149</v>
      </c>
      <c r="C295" t="s">
        <v>572</v>
      </c>
      <c r="D295" s="10">
        <v>16694180.66</v>
      </c>
      <c r="E295" t="s">
        <v>35</v>
      </c>
      <c r="F295" s="10">
        <v>15104003.140000001</v>
      </c>
      <c r="G295"/>
      <c r="H295" s="10">
        <v>2147474.64</v>
      </c>
      <c r="I295" t="s">
        <v>35</v>
      </c>
      <c r="J295" s="10">
        <v>3737652.16</v>
      </c>
      <c r="K295" t="s">
        <v>35</v>
      </c>
      <c r="L295" s="1">
        <f t="shared" si="4"/>
        <v>-3737652.16</v>
      </c>
      <c r="N295" s="6" t="str">
        <f>IF(ISERROR(VLOOKUP($A295,'Plano de Contas'!#REF!,8,FALSE)),"",VLOOKUP($A295,'Plano de Contas'!#REF!,8,FALSE))</f>
        <v/>
      </c>
      <c r="P295" s="6" t="str">
        <f>IF(ISERROR(VLOOKUP($A295,'Plano de Contas'!#REF!,10,FALSE)),"",VLOOKUP($A295,'Plano de Contas'!#REF!,10,FALSE))</f>
        <v/>
      </c>
      <c r="R295" s="6" t="e">
        <f>VLOOKUP(A295,'Plano de Contas'!#REF!,12,FALSE)</f>
        <v>#REF!</v>
      </c>
      <c r="T295" s="6" t="e">
        <f>VLOOKUP(A295,'Plano de Contas'!#REF!,13,FALSE)</f>
        <v>#REF!</v>
      </c>
    </row>
    <row r="296" spans="1:20" s="5" customFormat="1" x14ac:dyDescent="0.25">
      <c r="A296" t="s">
        <v>573</v>
      </c>
      <c r="B296">
        <v>150</v>
      </c>
      <c r="C296" t="s">
        <v>574</v>
      </c>
      <c r="D296" s="10">
        <v>-2732030.47</v>
      </c>
      <c r="E296"/>
      <c r="F296" s="10">
        <v>208287.85</v>
      </c>
      <c r="G296"/>
      <c r="H296" s="10">
        <v>-266903.21999999997</v>
      </c>
      <c r="I296"/>
      <c r="J296" s="10">
        <v>-2790645.84</v>
      </c>
      <c r="K296"/>
      <c r="L296" s="1">
        <f t="shared" si="4"/>
        <v>-2790645.84</v>
      </c>
      <c r="N296" s="6" t="str">
        <f>IF(ISERROR(VLOOKUP($A296,'Plano de Contas'!#REF!,8,FALSE)),"",VLOOKUP($A296,'Plano de Contas'!#REF!,8,FALSE))</f>
        <v/>
      </c>
      <c r="P296" s="6" t="str">
        <f>IF(ISERROR(VLOOKUP($A296,'Plano de Contas'!#REF!,10,FALSE)),"",VLOOKUP($A296,'Plano de Contas'!#REF!,10,FALSE))</f>
        <v/>
      </c>
      <c r="R296" s="6" t="e">
        <f>VLOOKUP(A296,'Plano de Contas'!#REF!,12,FALSE)</f>
        <v>#REF!</v>
      </c>
      <c r="T296" s="6" t="e">
        <f>VLOOKUP(A296,'Plano de Contas'!#REF!,13,FALSE)</f>
        <v>#REF!</v>
      </c>
    </row>
    <row r="297" spans="1:20" s="5" customFormat="1" x14ac:dyDescent="0.25">
      <c r="A297" t="s">
        <v>575</v>
      </c>
      <c r="B297">
        <v>151</v>
      </c>
      <c r="C297" t="s">
        <v>576</v>
      </c>
      <c r="D297" s="10">
        <v>-726941.88</v>
      </c>
      <c r="E297"/>
      <c r="F297" s="10">
        <v>52250.79</v>
      </c>
      <c r="G297"/>
      <c r="H297" s="10">
        <v>-63032.73</v>
      </c>
      <c r="I297"/>
      <c r="J297" s="10">
        <v>-737723.82</v>
      </c>
      <c r="K297"/>
      <c r="L297" s="1">
        <f t="shared" si="4"/>
        <v>-737723.82</v>
      </c>
      <c r="N297" s="6" t="str">
        <f>IF(ISERROR(VLOOKUP($A297,'Plano de Contas'!#REF!,8,FALSE)),"",VLOOKUP($A297,'Plano de Contas'!#REF!,8,FALSE))</f>
        <v/>
      </c>
      <c r="P297" s="6" t="str">
        <f>IF(ISERROR(VLOOKUP($A297,'Plano de Contas'!#REF!,10,FALSE)),"",VLOOKUP($A297,'Plano de Contas'!#REF!,10,FALSE))</f>
        <v/>
      </c>
      <c r="R297" s="6" t="e">
        <f>VLOOKUP(A297,'Plano de Contas'!#REF!,12,FALSE)</f>
        <v>#REF!</v>
      </c>
      <c r="T297" s="6" t="e">
        <f>VLOOKUP(A297,'Plano de Contas'!#REF!,13,FALSE)</f>
        <v>#REF!</v>
      </c>
    </row>
    <row r="298" spans="1:20" s="5" customFormat="1" x14ac:dyDescent="0.25">
      <c r="A298" t="s">
        <v>577</v>
      </c>
      <c r="B298">
        <v>152</v>
      </c>
      <c r="C298" t="s">
        <v>578</v>
      </c>
      <c r="D298" s="10">
        <v>-203185.1</v>
      </c>
      <c r="E298"/>
      <c r="F298" s="10">
        <v>15655.67</v>
      </c>
      <c r="G298"/>
      <c r="H298" s="10">
        <v>-21753.07</v>
      </c>
      <c r="I298"/>
      <c r="J298" s="10">
        <v>-209282.5</v>
      </c>
      <c r="K298"/>
      <c r="L298" s="1">
        <f t="shared" si="4"/>
        <v>-209282.5</v>
      </c>
      <c r="N298" s="6" t="str">
        <f>IF(ISERROR(VLOOKUP($A298,'Plano de Contas'!#REF!,8,FALSE)),"",VLOOKUP($A298,'Plano de Contas'!#REF!,8,FALSE))</f>
        <v/>
      </c>
      <c r="P298" s="6" t="str">
        <f>IF(ISERROR(VLOOKUP($A298,'Plano de Contas'!#REF!,10,FALSE)),"",VLOOKUP($A298,'Plano de Contas'!#REF!,10,FALSE))</f>
        <v/>
      </c>
      <c r="R298" s="6" t="e">
        <f>VLOOKUP(A298,'Plano de Contas'!#REF!,12,FALSE)</f>
        <v>#REF!</v>
      </c>
      <c r="T298" s="6" t="e">
        <f>VLOOKUP(A298,'Plano de Contas'!#REF!,13,FALSE)</f>
        <v>#REF!</v>
      </c>
    </row>
    <row r="299" spans="1:20" s="5" customFormat="1" x14ac:dyDescent="0.25">
      <c r="A299" t="s">
        <v>579</v>
      </c>
      <c r="B299">
        <v>153</v>
      </c>
      <c r="C299" t="s">
        <v>580</v>
      </c>
      <c r="D299" s="10">
        <v>-1825524.7</v>
      </c>
      <c r="E299"/>
      <c r="F299" s="10">
        <v>1926045.11</v>
      </c>
      <c r="G299"/>
      <c r="H299" s="10">
        <v>-100520.41</v>
      </c>
      <c r="I299"/>
      <c r="J299" s="10">
        <v>0</v>
      </c>
      <c r="K299"/>
      <c r="L299" s="1">
        <f t="shared" si="4"/>
        <v>0</v>
      </c>
      <c r="N299" s="6" t="str">
        <f>IF(ISERROR(VLOOKUP($A299,'Plano de Contas'!#REF!,8,FALSE)),"",VLOOKUP($A299,'Plano de Contas'!#REF!,8,FALSE))</f>
        <v/>
      </c>
      <c r="P299" s="6" t="str">
        <f>IF(ISERROR(VLOOKUP($A299,'Plano de Contas'!#REF!,10,FALSE)),"",VLOOKUP($A299,'Plano de Contas'!#REF!,10,FALSE))</f>
        <v/>
      </c>
      <c r="R299" s="6" t="e">
        <f>VLOOKUP(A299,'Plano de Contas'!#REF!,12,FALSE)</f>
        <v>#REF!</v>
      </c>
      <c r="T299" s="6" t="e">
        <f>VLOOKUP(A299,'Plano de Contas'!#REF!,13,FALSE)</f>
        <v>#REF!</v>
      </c>
    </row>
    <row r="300" spans="1:20" s="5" customFormat="1" x14ac:dyDescent="0.25">
      <c r="A300" t="s">
        <v>581</v>
      </c>
      <c r="B300">
        <v>154</v>
      </c>
      <c r="C300" t="s">
        <v>582</v>
      </c>
      <c r="D300" s="10">
        <v>-514797.99</v>
      </c>
      <c r="E300"/>
      <c r="F300" s="10">
        <v>542598.03</v>
      </c>
      <c r="G300"/>
      <c r="H300" s="10">
        <v>-27800.04</v>
      </c>
      <c r="I300"/>
      <c r="J300" s="10">
        <v>0</v>
      </c>
      <c r="K300"/>
      <c r="L300" s="1">
        <f t="shared" si="4"/>
        <v>0</v>
      </c>
      <c r="N300" s="6" t="str">
        <f>IF(ISERROR(VLOOKUP($A300,'Plano de Contas'!#REF!,8,FALSE)),"",VLOOKUP($A300,'Plano de Contas'!#REF!,8,FALSE))</f>
        <v/>
      </c>
      <c r="P300" s="6" t="str">
        <f>IF(ISERROR(VLOOKUP($A300,'Plano de Contas'!#REF!,10,FALSE)),"",VLOOKUP($A300,'Plano de Contas'!#REF!,10,FALSE))</f>
        <v/>
      </c>
      <c r="R300" s="6" t="e">
        <f>VLOOKUP(A300,'Plano de Contas'!#REF!,12,FALSE)</f>
        <v>#REF!</v>
      </c>
      <c r="T300" s="6" t="e">
        <f>VLOOKUP(A300,'Plano de Contas'!#REF!,13,FALSE)</f>
        <v>#REF!</v>
      </c>
    </row>
    <row r="301" spans="1:20" s="5" customFormat="1" x14ac:dyDescent="0.25">
      <c r="A301" t="s">
        <v>583</v>
      </c>
      <c r="B301">
        <v>155</v>
      </c>
      <c r="C301" t="s">
        <v>584</v>
      </c>
      <c r="D301" s="10">
        <v>-146041.98000000001</v>
      </c>
      <c r="E301"/>
      <c r="F301" s="10">
        <v>153928.67000000001</v>
      </c>
      <c r="G301"/>
      <c r="H301" s="10">
        <v>-7886.69</v>
      </c>
      <c r="I301"/>
      <c r="J301" s="10">
        <v>0</v>
      </c>
      <c r="K301"/>
      <c r="L301" s="1">
        <f t="shared" si="4"/>
        <v>0</v>
      </c>
      <c r="N301" s="6" t="str">
        <f>IF(ISERROR(VLOOKUP($A301,'Plano de Contas'!#REF!,8,FALSE)),"",VLOOKUP($A301,'Plano de Contas'!#REF!,8,FALSE))</f>
        <v/>
      </c>
      <c r="P301" s="6" t="str">
        <f>IF(ISERROR(VLOOKUP($A301,'Plano de Contas'!#REF!,10,FALSE)),"",VLOOKUP($A301,'Plano de Contas'!#REF!,10,FALSE))</f>
        <v/>
      </c>
      <c r="R301" s="6" t="e">
        <f>VLOOKUP(A301,'Plano de Contas'!#REF!,12,FALSE)</f>
        <v>#REF!</v>
      </c>
      <c r="T301" s="6" t="e">
        <f>VLOOKUP(A301,'Plano de Contas'!#REF!,13,FALSE)</f>
        <v>#REF!</v>
      </c>
    </row>
    <row r="302" spans="1:20" s="5" customFormat="1" x14ac:dyDescent="0.25">
      <c r="A302" t="s">
        <v>1193</v>
      </c>
      <c r="B302">
        <v>1094</v>
      </c>
      <c r="C302" t="s">
        <v>1194</v>
      </c>
      <c r="D302" s="10">
        <v>-7748337.1600000001</v>
      </c>
      <c r="E302"/>
      <c r="F302" s="10">
        <v>8968086.0399999991</v>
      </c>
      <c r="G302"/>
      <c r="H302" s="10">
        <v>-1219748.8799999999</v>
      </c>
      <c r="I302"/>
      <c r="J302" s="10">
        <v>0</v>
      </c>
      <c r="K302"/>
      <c r="L302" s="1">
        <f t="shared" si="4"/>
        <v>0</v>
      </c>
      <c r="N302" s="6" t="str">
        <f>IF(ISERROR(VLOOKUP($A302,'Plano de Contas'!#REF!,8,FALSE)),"",VLOOKUP($A302,'Plano de Contas'!#REF!,8,FALSE))</f>
        <v/>
      </c>
      <c r="P302" s="6" t="str">
        <f>IF(ISERROR(VLOOKUP($A302,'Plano de Contas'!#REF!,10,FALSE)),"",VLOOKUP($A302,'Plano de Contas'!#REF!,10,FALSE))</f>
        <v/>
      </c>
      <c r="R302" s="6" t="e">
        <f>VLOOKUP(A302,'Plano de Contas'!#REF!,12,FALSE)</f>
        <v>#REF!</v>
      </c>
      <c r="T302" s="6" t="e">
        <f>VLOOKUP(A302,'Plano de Contas'!#REF!,13,FALSE)</f>
        <v>#REF!</v>
      </c>
    </row>
    <row r="303" spans="1:20" s="5" customFormat="1" x14ac:dyDescent="0.25">
      <c r="A303" t="s">
        <v>1195</v>
      </c>
      <c r="B303">
        <v>1095</v>
      </c>
      <c r="C303" t="s">
        <v>1196</v>
      </c>
      <c r="D303" s="10">
        <v>-2797321.38</v>
      </c>
      <c r="E303"/>
      <c r="F303" s="10">
        <v>3237150.98</v>
      </c>
      <c r="G303"/>
      <c r="H303" s="10">
        <v>-439829.6</v>
      </c>
      <c r="I303"/>
      <c r="J303" s="10">
        <v>0</v>
      </c>
      <c r="K303"/>
      <c r="L303" s="1">
        <f t="shared" si="4"/>
        <v>0</v>
      </c>
      <c r="N303" s="6" t="str">
        <f>IF(ISERROR(VLOOKUP($A303,'Plano de Contas'!#REF!,8,FALSE)),"",VLOOKUP($A303,'Plano de Contas'!#REF!,8,FALSE))</f>
        <v/>
      </c>
      <c r="P303" s="6" t="str">
        <f>IF(ISERROR(VLOOKUP($A303,'Plano de Contas'!#REF!,10,FALSE)),"",VLOOKUP($A303,'Plano de Contas'!#REF!,10,FALSE))</f>
        <v/>
      </c>
      <c r="R303" s="6" t="e">
        <f>VLOOKUP(A303,'Plano de Contas'!#REF!,12,FALSE)</f>
        <v>#REF!</v>
      </c>
      <c r="T303" s="6" t="e">
        <f>VLOOKUP(A303,'Plano de Contas'!#REF!,13,FALSE)</f>
        <v>#REF!</v>
      </c>
    </row>
    <row r="304" spans="1:20" s="5" customFormat="1" x14ac:dyDescent="0.25">
      <c r="A304"/>
      <c r="B304"/>
      <c r="C304"/>
      <c r="D304" s="10"/>
      <c r="E304"/>
      <c r="F304" s="10"/>
      <c r="G304"/>
      <c r="H304" s="10"/>
      <c r="I304"/>
      <c r="J304" s="10"/>
      <c r="K304"/>
      <c r="L304" s="1">
        <f t="shared" si="4"/>
        <v>0</v>
      </c>
      <c r="N304" s="6" t="str">
        <f>IF(ISERROR(VLOOKUP($A304,'Plano de Contas'!#REF!,8,FALSE)),"",VLOOKUP($A304,'Plano de Contas'!#REF!,8,FALSE))</f>
        <v/>
      </c>
      <c r="P304" s="6" t="str">
        <f>IF(ISERROR(VLOOKUP($A304,'Plano de Contas'!#REF!,10,FALSE)),"",VLOOKUP($A304,'Plano de Contas'!#REF!,10,FALSE))</f>
        <v/>
      </c>
      <c r="R304" s="6" t="e">
        <f>VLOOKUP(A304,'Plano de Contas'!#REF!,12,FALSE)</f>
        <v>#REF!</v>
      </c>
      <c r="T304" s="6" t="e">
        <f>VLOOKUP(A304,'Plano de Contas'!#REF!,13,FALSE)</f>
        <v>#REF!</v>
      </c>
    </row>
    <row r="305" spans="1:20" s="5" customFormat="1" x14ac:dyDescent="0.25">
      <c r="A305" t="s">
        <v>591</v>
      </c>
      <c r="B305">
        <v>157</v>
      </c>
      <c r="C305" t="s">
        <v>592</v>
      </c>
      <c r="D305" s="10">
        <v>2894802.21</v>
      </c>
      <c r="E305" t="s">
        <v>35</v>
      </c>
      <c r="F305">
        <v>0</v>
      </c>
      <c r="G305"/>
      <c r="H305" s="10">
        <v>103905.54</v>
      </c>
      <c r="I305" t="s">
        <v>35</v>
      </c>
      <c r="J305" s="10">
        <v>2998707.75</v>
      </c>
      <c r="K305" t="s">
        <v>35</v>
      </c>
      <c r="L305" s="1">
        <f t="shared" si="4"/>
        <v>-2998707.75</v>
      </c>
      <c r="N305" s="6" t="str">
        <f>IF(ISERROR(VLOOKUP($A305,'Plano de Contas'!#REF!,8,FALSE)),"",VLOOKUP($A305,'Plano de Contas'!#REF!,8,FALSE))</f>
        <v/>
      </c>
      <c r="P305" s="6" t="str">
        <f>IF(ISERROR(VLOOKUP($A305,'Plano de Contas'!#REF!,10,FALSE)),"",VLOOKUP($A305,'Plano de Contas'!#REF!,10,FALSE))</f>
        <v/>
      </c>
      <c r="R305" s="6" t="e">
        <f>VLOOKUP(A305,'Plano de Contas'!#REF!,12,FALSE)</f>
        <v>#REF!</v>
      </c>
      <c r="T305" s="6" t="e">
        <f>VLOOKUP(A305,'Plano de Contas'!#REF!,13,FALSE)</f>
        <v>#REF!</v>
      </c>
    </row>
    <row r="306" spans="1:20" s="5" customFormat="1" x14ac:dyDescent="0.25">
      <c r="A306" t="s">
        <v>593</v>
      </c>
      <c r="B306">
        <v>325</v>
      </c>
      <c r="C306" t="s">
        <v>594</v>
      </c>
      <c r="D306" s="10">
        <v>2894802.21</v>
      </c>
      <c r="E306" t="s">
        <v>35</v>
      </c>
      <c r="F306">
        <v>0</v>
      </c>
      <c r="G306"/>
      <c r="H306" s="10">
        <v>103905.54</v>
      </c>
      <c r="I306" t="s">
        <v>35</v>
      </c>
      <c r="J306" s="10">
        <v>2998707.75</v>
      </c>
      <c r="K306" t="s">
        <v>35</v>
      </c>
      <c r="L306" s="1">
        <f t="shared" si="4"/>
        <v>-2998707.75</v>
      </c>
      <c r="N306" s="6" t="str">
        <f>IF(ISERROR(VLOOKUP($A306,'Plano de Contas'!#REF!,8,FALSE)),"",VLOOKUP($A306,'Plano de Contas'!#REF!,8,FALSE))</f>
        <v/>
      </c>
      <c r="P306" s="6" t="str">
        <f>IF(ISERROR(VLOOKUP($A306,'Plano de Contas'!#REF!,10,FALSE)),"",VLOOKUP($A306,'Plano de Contas'!#REF!,10,FALSE))</f>
        <v/>
      </c>
      <c r="R306" s="6" t="e">
        <f>VLOOKUP(A306,'Plano de Contas'!#REF!,12,FALSE)</f>
        <v>#REF!</v>
      </c>
      <c r="T306" s="6" t="e">
        <f>VLOOKUP(A306,'Plano de Contas'!#REF!,13,FALSE)</f>
        <v>#REF!</v>
      </c>
    </row>
    <row r="307" spans="1:20" s="5" customFormat="1" x14ac:dyDescent="0.25">
      <c r="A307"/>
      <c r="B307"/>
      <c r="C307"/>
      <c r="D307" s="10"/>
      <c r="E307"/>
      <c r="F307" s="10"/>
      <c r="G307"/>
      <c r="H307" s="10"/>
      <c r="I307"/>
      <c r="J307" s="10"/>
      <c r="K307"/>
      <c r="L307" s="1">
        <f t="shared" si="4"/>
        <v>0</v>
      </c>
      <c r="N307" s="6" t="str">
        <f>IF(ISERROR(VLOOKUP($A307,'Plano de Contas'!#REF!,8,FALSE)),"",VLOOKUP($A307,'Plano de Contas'!#REF!,8,FALSE))</f>
        <v/>
      </c>
      <c r="P307" s="6" t="str">
        <f>IF(ISERROR(VLOOKUP($A307,'Plano de Contas'!#REF!,10,FALSE)),"",VLOOKUP($A307,'Plano de Contas'!#REF!,10,FALSE))</f>
        <v/>
      </c>
      <c r="R307" s="6" t="e">
        <f>VLOOKUP(A307,'Plano de Contas'!#REF!,12,FALSE)</f>
        <v>#REF!</v>
      </c>
      <c r="T307" s="6" t="e">
        <f>VLOOKUP(A307,'Plano de Contas'!#REF!,13,FALSE)</f>
        <v>#REF!</v>
      </c>
    </row>
    <row r="308" spans="1:20" s="5" customFormat="1" x14ac:dyDescent="0.25">
      <c r="A308" t="s">
        <v>595</v>
      </c>
      <c r="B308">
        <v>158</v>
      </c>
      <c r="C308" t="s">
        <v>596</v>
      </c>
      <c r="D308" s="10">
        <v>119456.36</v>
      </c>
      <c r="E308" t="s">
        <v>35</v>
      </c>
      <c r="F308" s="10">
        <v>0</v>
      </c>
      <c r="G308"/>
      <c r="H308" s="10">
        <v>3400.66</v>
      </c>
      <c r="I308" t="s">
        <v>35</v>
      </c>
      <c r="J308" s="10">
        <v>122857.02</v>
      </c>
      <c r="K308" t="s">
        <v>35</v>
      </c>
      <c r="L308" s="1">
        <f t="shared" si="4"/>
        <v>-122857.02</v>
      </c>
      <c r="N308" s="6" t="str">
        <f>IF(ISERROR(VLOOKUP($A308,'Plano de Contas'!#REF!,8,FALSE)),"",VLOOKUP($A308,'Plano de Contas'!#REF!,8,FALSE))</f>
        <v/>
      </c>
      <c r="P308" s="6" t="str">
        <f>IF(ISERROR(VLOOKUP($A308,'Plano de Contas'!#REF!,10,FALSE)),"",VLOOKUP($A308,'Plano de Contas'!#REF!,10,FALSE))</f>
        <v/>
      </c>
      <c r="R308" s="6" t="e">
        <f>VLOOKUP(A308,'Plano de Contas'!#REF!,12,FALSE)</f>
        <v>#REF!</v>
      </c>
      <c r="T308" s="6" t="e">
        <f>VLOOKUP(A308,'Plano de Contas'!#REF!,13,FALSE)</f>
        <v>#REF!</v>
      </c>
    </row>
    <row r="309" spans="1:20" s="5" customFormat="1" x14ac:dyDescent="0.25">
      <c r="A309" t="s">
        <v>597</v>
      </c>
      <c r="B309">
        <v>326</v>
      </c>
      <c r="C309" t="s">
        <v>598</v>
      </c>
      <c r="D309" s="10">
        <v>45121.48</v>
      </c>
      <c r="E309" t="s">
        <v>35</v>
      </c>
      <c r="F309" s="10">
        <v>0</v>
      </c>
      <c r="G309"/>
      <c r="H309" s="10">
        <v>3400.66</v>
      </c>
      <c r="I309" t="s">
        <v>35</v>
      </c>
      <c r="J309" s="10">
        <v>48522.14</v>
      </c>
      <c r="K309" t="s">
        <v>35</v>
      </c>
      <c r="L309" s="1">
        <f t="shared" si="4"/>
        <v>-48522.14</v>
      </c>
      <c r="N309" s="6" t="str">
        <f>IF(ISERROR(VLOOKUP($A309,'Plano de Contas'!#REF!,8,FALSE)),"",VLOOKUP($A309,'Plano de Contas'!#REF!,8,FALSE))</f>
        <v/>
      </c>
      <c r="P309" s="6" t="str">
        <f>IF(ISERROR(VLOOKUP($A309,'Plano de Contas'!#REF!,10,FALSE)),"",VLOOKUP($A309,'Plano de Contas'!#REF!,10,FALSE))</f>
        <v/>
      </c>
      <c r="R309" s="6" t="e">
        <f>VLOOKUP(A309,'Plano de Contas'!#REF!,12,FALSE)</f>
        <v>#REF!</v>
      </c>
      <c r="T309" s="6" t="e">
        <f>VLOOKUP(A309,'Plano de Contas'!#REF!,13,FALSE)</f>
        <v>#REF!</v>
      </c>
    </row>
    <row r="310" spans="1:20" s="5" customFormat="1" x14ac:dyDescent="0.25">
      <c r="A310" t="s">
        <v>599</v>
      </c>
      <c r="B310">
        <v>923</v>
      </c>
      <c r="C310" t="s">
        <v>600</v>
      </c>
      <c r="D310" s="10">
        <v>-74334.880000000005</v>
      </c>
      <c r="E310"/>
      <c r="F310" s="10">
        <v>0</v>
      </c>
      <c r="G310"/>
      <c r="H310" s="10">
        <v>0</v>
      </c>
      <c r="I310"/>
      <c r="J310" s="10">
        <v>-74334.880000000005</v>
      </c>
      <c r="K310"/>
      <c r="L310" s="1">
        <f t="shared" si="4"/>
        <v>-74334.880000000005</v>
      </c>
      <c r="N310" s="6" t="str">
        <f>IF(ISERROR(VLOOKUP($A310,'Plano de Contas'!#REF!,8,FALSE)),"",VLOOKUP($A310,'Plano de Contas'!#REF!,8,FALSE))</f>
        <v/>
      </c>
      <c r="P310" s="6" t="str">
        <f>IF(ISERROR(VLOOKUP($A310,'Plano de Contas'!#REF!,10,FALSE)),"",VLOOKUP($A310,'Plano de Contas'!#REF!,10,FALSE))</f>
        <v/>
      </c>
      <c r="R310" s="6" t="e">
        <f>VLOOKUP(A310,'Plano de Contas'!#REF!,12,FALSE)</f>
        <v>#REF!</v>
      </c>
      <c r="T310" s="6" t="e">
        <f>VLOOKUP(A310,'Plano de Contas'!#REF!,13,FALSE)</f>
        <v>#REF!</v>
      </c>
    </row>
    <row r="311" spans="1:20" s="5" customFormat="1" x14ac:dyDescent="0.25">
      <c r="A311"/>
      <c r="B311"/>
      <c r="C311"/>
      <c r="D311" s="10"/>
      <c r="E311"/>
      <c r="F311" s="10"/>
      <c r="G311"/>
      <c r="H311" s="10"/>
      <c r="I311"/>
      <c r="J311" s="10"/>
      <c r="K311"/>
      <c r="L311" s="1">
        <f t="shared" si="4"/>
        <v>0</v>
      </c>
      <c r="N311" s="6" t="str">
        <f>IF(ISERROR(VLOOKUP($A311,'Plano de Contas'!#REF!,8,FALSE)),"",VLOOKUP($A311,'Plano de Contas'!#REF!,8,FALSE))</f>
        <v/>
      </c>
      <c r="P311" s="6" t="str">
        <f>IF(ISERROR(VLOOKUP($A311,'Plano de Contas'!#REF!,10,FALSE)),"",VLOOKUP($A311,'Plano de Contas'!#REF!,10,FALSE))</f>
        <v/>
      </c>
      <c r="R311" s="6" t="e">
        <f>VLOOKUP(A311,'Plano de Contas'!#REF!,12,FALSE)</f>
        <v>#REF!</v>
      </c>
      <c r="T311" s="6" t="e">
        <f>VLOOKUP(A311,'Plano de Contas'!#REF!,13,FALSE)</f>
        <v>#REF!</v>
      </c>
    </row>
    <row r="312" spans="1:20" s="5" customFormat="1" x14ac:dyDescent="0.25">
      <c r="A312" t="s">
        <v>601</v>
      </c>
      <c r="B312">
        <v>432</v>
      </c>
      <c r="C312" t="s">
        <v>602</v>
      </c>
      <c r="D312" s="10">
        <v>380589.9</v>
      </c>
      <c r="E312" t="s">
        <v>35</v>
      </c>
      <c r="F312" s="10">
        <v>142214.23000000001</v>
      </c>
      <c r="G312"/>
      <c r="H312" s="10">
        <v>142214.23000000001</v>
      </c>
      <c r="I312" t="s">
        <v>35</v>
      </c>
      <c r="J312" s="10">
        <v>380589.9</v>
      </c>
      <c r="K312" t="s">
        <v>35</v>
      </c>
      <c r="L312" s="1">
        <f t="shared" si="4"/>
        <v>-380589.9</v>
      </c>
      <c r="N312" s="6" t="str">
        <f>IF(ISERROR(VLOOKUP($A312,'Plano de Contas'!#REF!,8,FALSE)),"",VLOOKUP($A312,'Plano de Contas'!#REF!,8,FALSE))</f>
        <v/>
      </c>
      <c r="P312" s="6" t="str">
        <f>IF(ISERROR(VLOOKUP($A312,'Plano de Contas'!#REF!,10,FALSE)),"",VLOOKUP($A312,'Plano de Contas'!#REF!,10,FALSE))</f>
        <v/>
      </c>
      <c r="R312" s="6" t="e">
        <f>VLOOKUP(A312,'Plano de Contas'!#REF!,12,FALSE)</f>
        <v>#REF!</v>
      </c>
      <c r="T312" s="6" t="e">
        <f>VLOOKUP(A312,'Plano de Contas'!#REF!,13,FALSE)</f>
        <v>#REF!</v>
      </c>
    </row>
    <row r="313" spans="1:20" s="5" customFormat="1" x14ac:dyDescent="0.25">
      <c r="A313" t="s">
        <v>603</v>
      </c>
      <c r="B313">
        <v>433</v>
      </c>
      <c r="C313" t="s">
        <v>604</v>
      </c>
      <c r="D313" s="10">
        <v>191068.35</v>
      </c>
      <c r="E313" t="s">
        <v>35</v>
      </c>
      <c r="F313" s="10">
        <v>142214.23000000001</v>
      </c>
      <c r="G313"/>
      <c r="H313" s="10">
        <v>142214.23000000001</v>
      </c>
      <c r="I313" t="s">
        <v>35</v>
      </c>
      <c r="J313" s="10">
        <v>191068.35</v>
      </c>
      <c r="K313" t="s">
        <v>35</v>
      </c>
      <c r="L313" s="1">
        <f t="shared" si="4"/>
        <v>-191068.35</v>
      </c>
      <c r="N313" s="6" t="str">
        <f>IF(ISERROR(VLOOKUP($A313,'Plano de Contas'!#REF!,8,FALSE)),"",VLOOKUP($A313,'Plano de Contas'!#REF!,8,FALSE))</f>
        <v/>
      </c>
      <c r="P313" s="6" t="str">
        <f>IF(ISERROR(VLOOKUP($A313,'Plano de Contas'!#REF!,10,FALSE)),"",VLOOKUP($A313,'Plano de Contas'!#REF!,10,FALSE))</f>
        <v/>
      </c>
      <c r="R313" s="6" t="e">
        <f>VLOOKUP(A313,'Plano de Contas'!#REF!,12,FALSE)</f>
        <v>#REF!</v>
      </c>
      <c r="T313" s="6" t="e">
        <f>VLOOKUP(A313,'Plano de Contas'!#REF!,13,FALSE)</f>
        <v>#REF!</v>
      </c>
    </row>
    <row r="314" spans="1:20" s="5" customFormat="1" x14ac:dyDescent="0.25">
      <c r="A314" t="s">
        <v>605</v>
      </c>
      <c r="B314">
        <v>669</v>
      </c>
      <c r="C314" t="s">
        <v>606</v>
      </c>
      <c r="D314" s="10">
        <v>189521.55</v>
      </c>
      <c r="E314" t="s">
        <v>35</v>
      </c>
      <c r="F314" s="10">
        <v>0</v>
      </c>
      <c r="G314"/>
      <c r="H314" s="10">
        <v>0</v>
      </c>
      <c r="I314"/>
      <c r="J314" s="10">
        <v>189521.55</v>
      </c>
      <c r="K314" t="s">
        <v>35</v>
      </c>
      <c r="L314" s="1">
        <f t="shared" si="4"/>
        <v>-189521.55</v>
      </c>
      <c r="N314" s="6" t="str">
        <f>IF(ISERROR(VLOOKUP($A314,'Plano de Contas'!#REF!,8,FALSE)),"",VLOOKUP($A314,'Plano de Contas'!#REF!,8,FALSE))</f>
        <v/>
      </c>
      <c r="P314" s="6" t="str">
        <f>IF(ISERROR(VLOOKUP($A314,'Plano de Contas'!#REF!,10,FALSE)),"",VLOOKUP($A314,'Plano de Contas'!#REF!,10,FALSE))</f>
        <v/>
      </c>
      <c r="R314" s="6" t="e">
        <f>VLOOKUP(A314,'Plano de Contas'!#REF!,12,FALSE)</f>
        <v>#REF!</v>
      </c>
      <c r="T314" s="6" t="e">
        <f>VLOOKUP(A314,'Plano de Contas'!#REF!,13,FALSE)</f>
        <v>#REF!</v>
      </c>
    </row>
    <row r="315" spans="1:20" s="5" customFormat="1" x14ac:dyDescent="0.25">
      <c r="A315"/>
      <c r="B315"/>
      <c r="C315"/>
      <c r="D315" s="10"/>
      <c r="E315"/>
      <c r="F315" s="10"/>
      <c r="G315"/>
      <c r="H315" s="10"/>
      <c r="I315"/>
      <c r="J315" s="10"/>
      <c r="K315"/>
      <c r="L315" s="1">
        <f t="shared" si="4"/>
        <v>0</v>
      </c>
      <c r="N315" s="6" t="str">
        <f>IF(ISERROR(VLOOKUP($A315,'Plano de Contas'!#REF!,8,FALSE)),"",VLOOKUP($A315,'Plano de Contas'!#REF!,8,FALSE))</f>
        <v/>
      </c>
      <c r="P315" s="6" t="str">
        <f>IF(ISERROR(VLOOKUP($A315,'Plano de Contas'!#REF!,10,FALSE)),"",VLOOKUP($A315,'Plano de Contas'!#REF!,10,FALSE))</f>
        <v/>
      </c>
      <c r="R315" s="6" t="e">
        <f>VLOOKUP(A315,'Plano de Contas'!#REF!,12,FALSE)</f>
        <v>#REF!</v>
      </c>
      <c r="T315" s="6" t="e">
        <f>VLOOKUP(A315,'Plano de Contas'!#REF!,13,FALSE)</f>
        <v>#REF!</v>
      </c>
    </row>
    <row r="316" spans="1:20" s="5" customFormat="1" x14ac:dyDescent="0.25">
      <c r="A316" t="s">
        <v>608</v>
      </c>
      <c r="B316">
        <v>159</v>
      </c>
      <c r="C316" t="s">
        <v>609</v>
      </c>
      <c r="D316" s="10">
        <v>950999.86</v>
      </c>
      <c r="E316" t="s">
        <v>35</v>
      </c>
      <c r="F316" s="10">
        <v>46921.51</v>
      </c>
      <c r="G316"/>
      <c r="H316" s="10">
        <v>46921.51</v>
      </c>
      <c r="I316" t="s">
        <v>35</v>
      </c>
      <c r="J316" s="10">
        <v>950999.86</v>
      </c>
      <c r="K316" t="s">
        <v>35</v>
      </c>
      <c r="L316" s="1">
        <f t="shared" si="4"/>
        <v>-950999.86</v>
      </c>
      <c r="N316" s="6" t="str">
        <f>IF(ISERROR(VLOOKUP($A316,'Plano de Contas'!#REF!,8,FALSE)),"",VLOOKUP($A316,'Plano de Contas'!#REF!,8,FALSE))</f>
        <v/>
      </c>
      <c r="P316" s="6" t="str">
        <f>IF(ISERROR(VLOOKUP($A316,'Plano de Contas'!#REF!,10,FALSE)),"",VLOOKUP($A316,'Plano de Contas'!#REF!,10,FALSE))</f>
        <v/>
      </c>
      <c r="R316" s="6" t="e">
        <f>VLOOKUP(A316,'Plano de Contas'!#REF!,12,FALSE)</f>
        <v>#REF!</v>
      </c>
      <c r="T316" s="6" t="e">
        <f>VLOOKUP(A316,'Plano de Contas'!#REF!,13,FALSE)</f>
        <v>#REF!</v>
      </c>
    </row>
    <row r="317" spans="1:20" s="5" customFormat="1" x14ac:dyDescent="0.25">
      <c r="A317" t="s">
        <v>610</v>
      </c>
      <c r="B317">
        <v>160</v>
      </c>
      <c r="C317" t="s">
        <v>611</v>
      </c>
      <c r="D317" s="10">
        <v>-38879.480000000003</v>
      </c>
      <c r="E317"/>
      <c r="F317">
        <v>0</v>
      </c>
      <c r="G317"/>
      <c r="H317">
        <v>0</v>
      </c>
      <c r="I317"/>
      <c r="J317" s="10">
        <v>-38879.480000000003</v>
      </c>
      <c r="K317"/>
      <c r="L317" s="1">
        <f t="shared" si="4"/>
        <v>-38879.480000000003</v>
      </c>
      <c r="N317" s="6" t="str">
        <f>IF(ISERROR(VLOOKUP($A317,'Plano de Contas'!#REF!,8,FALSE)),"",VLOOKUP($A317,'Plano de Contas'!#REF!,8,FALSE))</f>
        <v/>
      </c>
      <c r="P317" s="6" t="str">
        <f>IF(ISERROR(VLOOKUP($A317,'Plano de Contas'!#REF!,10,FALSE)),"",VLOOKUP($A317,'Plano de Contas'!#REF!,10,FALSE))</f>
        <v/>
      </c>
      <c r="R317" s="6" t="e">
        <f>VLOOKUP(A317,'Plano de Contas'!#REF!,12,FALSE)</f>
        <v>#REF!</v>
      </c>
      <c r="T317" s="6" t="e">
        <f>VLOOKUP(A317,'Plano de Contas'!#REF!,13,FALSE)</f>
        <v>#REF!</v>
      </c>
    </row>
    <row r="318" spans="1:20" s="5" customFormat="1" x14ac:dyDescent="0.25">
      <c r="A318" t="s">
        <v>616</v>
      </c>
      <c r="B318">
        <v>640</v>
      </c>
      <c r="C318" t="s">
        <v>617</v>
      </c>
      <c r="D318" s="10">
        <v>912120</v>
      </c>
      <c r="E318" t="s">
        <v>35</v>
      </c>
      <c r="F318" s="10">
        <v>0</v>
      </c>
      <c r="G318"/>
      <c r="H318" s="10">
        <v>0</v>
      </c>
      <c r="I318"/>
      <c r="J318" s="10">
        <v>912120</v>
      </c>
      <c r="K318" t="s">
        <v>35</v>
      </c>
      <c r="L318" s="1">
        <f t="shared" si="4"/>
        <v>-912120</v>
      </c>
      <c r="N318" s="6" t="str">
        <f>IF(ISERROR(VLOOKUP($A318,'Plano de Contas'!#REF!,8,FALSE)),"",VLOOKUP($A318,'Plano de Contas'!#REF!,8,FALSE))</f>
        <v/>
      </c>
      <c r="P318" s="6" t="str">
        <f>IF(ISERROR(VLOOKUP($A318,'Plano de Contas'!#REF!,10,FALSE)),"",VLOOKUP($A318,'Plano de Contas'!#REF!,10,FALSE))</f>
        <v/>
      </c>
      <c r="R318" s="6" t="e">
        <f>VLOOKUP(A318,'Plano de Contas'!#REF!,12,FALSE)</f>
        <v>#REF!</v>
      </c>
      <c r="T318" s="6" t="e">
        <f>VLOOKUP(A318,'Plano de Contas'!#REF!,13,FALSE)</f>
        <v>#REF!</v>
      </c>
    </row>
    <row r="319" spans="1:20" s="5" customFormat="1" x14ac:dyDescent="0.25">
      <c r="A319" t="s">
        <v>618</v>
      </c>
      <c r="B319">
        <v>722</v>
      </c>
      <c r="C319" t="s">
        <v>619</v>
      </c>
      <c r="D319" s="10">
        <v>0.38</v>
      </c>
      <c r="E319" t="s">
        <v>35</v>
      </c>
      <c r="F319" s="10">
        <v>46921.51</v>
      </c>
      <c r="G319"/>
      <c r="H319" s="10">
        <v>46921.51</v>
      </c>
      <c r="I319" t="s">
        <v>35</v>
      </c>
      <c r="J319" s="10">
        <v>0.38</v>
      </c>
      <c r="K319" t="s">
        <v>35</v>
      </c>
      <c r="L319" s="1">
        <f t="shared" si="4"/>
        <v>-0.38</v>
      </c>
      <c r="N319" s="6" t="str">
        <f>IF(ISERROR(VLOOKUP($A319,'Plano de Contas'!#REF!,8,FALSE)),"",VLOOKUP($A319,'Plano de Contas'!#REF!,8,FALSE))</f>
        <v/>
      </c>
      <c r="P319" s="6" t="str">
        <f>IF(ISERROR(VLOOKUP($A319,'Plano de Contas'!#REF!,10,FALSE)),"",VLOOKUP($A319,'Plano de Contas'!#REF!,10,FALSE))</f>
        <v/>
      </c>
      <c r="R319" s="6" t="e">
        <f>VLOOKUP(A319,'Plano de Contas'!#REF!,12,FALSE)</f>
        <v>#REF!</v>
      </c>
      <c r="T319" s="6" t="e">
        <f>VLOOKUP(A319,'Plano de Contas'!#REF!,13,FALSE)</f>
        <v>#REF!</v>
      </c>
    </row>
    <row r="320" spans="1:20" s="5" customFormat="1" x14ac:dyDescent="0.25">
      <c r="A320"/>
      <c r="B320"/>
      <c r="C320"/>
      <c r="D320" s="10"/>
      <c r="E320"/>
      <c r="F320" s="10"/>
      <c r="G320"/>
      <c r="H320" s="10"/>
      <c r="I320"/>
      <c r="J320" s="10"/>
      <c r="K320"/>
      <c r="L320" s="1">
        <f t="shared" si="4"/>
        <v>0</v>
      </c>
      <c r="N320" s="6" t="str">
        <f>IF(ISERROR(VLOOKUP($A320,'Plano de Contas'!#REF!,8,FALSE)),"",VLOOKUP($A320,'Plano de Contas'!#REF!,8,FALSE))</f>
        <v/>
      </c>
      <c r="P320" s="6" t="str">
        <f>IF(ISERROR(VLOOKUP($A320,'Plano de Contas'!#REF!,10,FALSE)),"",VLOOKUP($A320,'Plano de Contas'!#REF!,10,FALSE))</f>
        <v/>
      </c>
      <c r="R320" s="6" t="e">
        <f>VLOOKUP(A320,'Plano de Contas'!#REF!,12,FALSE)</f>
        <v>#REF!</v>
      </c>
      <c r="T320" s="6" t="e">
        <f>VLOOKUP(A320,'Plano de Contas'!#REF!,13,FALSE)</f>
        <v>#REF!</v>
      </c>
    </row>
    <row r="321" spans="1:20" s="5" customFormat="1" x14ac:dyDescent="0.25">
      <c r="A321" t="s">
        <v>624</v>
      </c>
      <c r="B321">
        <v>161</v>
      </c>
      <c r="C321" t="s">
        <v>625</v>
      </c>
      <c r="D321" s="10">
        <v>1450534578.3299999</v>
      </c>
      <c r="E321" t="s">
        <v>35</v>
      </c>
      <c r="F321" s="10">
        <v>5223870.1100000003</v>
      </c>
      <c r="G321"/>
      <c r="H321" s="10">
        <v>744530974.78999996</v>
      </c>
      <c r="I321" t="s">
        <v>35</v>
      </c>
      <c r="J321" s="10">
        <v>2189841683.0100002</v>
      </c>
      <c r="K321" t="s">
        <v>35</v>
      </c>
      <c r="L321" s="1">
        <f t="shared" si="4"/>
        <v>-2189841683.0100002</v>
      </c>
      <c r="N321" s="6" t="str">
        <f>IF(ISERROR(VLOOKUP($A321,'Plano de Contas'!#REF!,8,FALSE)),"",VLOOKUP($A321,'Plano de Contas'!#REF!,8,FALSE))</f>
        <v/>
      </c>
      <c r="P321" s="6" t="str">
        <f>IF(ISERROR(VLOOKUP($A321,'Plano de Contas'!#REF!,10,FALSE)),"",VLOOKUP($A321,'Plano de Contas'!#REF!,10,FALSE))</f>
        <v/>
      </c>
      <c r="R321" s="6" t="e">
        <f>VLOOKUP(A321,'Plano de Contas'!#REF!,12,FALSE)</f>
        <v>#REF!</v>
      </c>
      <c r="T321" s="6" t="e">
        <f>VLOOKUP(A321,'Plano de Contas'!#REF!,13,FALSE)</f>
        <v>#REF!</v>
      </c>
    </row>
    <row r="322" spans="1:20" s="5" customFormat="1" x14ac:dyDescent="0.25">
      <c r="A322"/>
      <c r="B322"/>
      <c r="C322"/>
      <c r="D322" s="10"/>
      <c r="E322"/>
      <c r="F322" s="10"/>
      <c r="G322"/>
      <c r="H322" s="10"/>
      <c r="I322"/>
      <c r="J322" s="10"/>
      <c r="K322"/>
      <c r="L322" s="1">
        <f t="shared" si="4"/>
        <v>0</v>
      </c>
      <c r="N322" s="6" t="str">
        <f>IF(ISERROR(VLOOKUP($A322,'Plano de Contas'!#REF!,8,FALSE)),"",VLOOKUP($A322,'Plano de Contas'!#REF!,8,FALSE))</f>
        <v/>
      </c>
      <c r="P322" s="6" t="str">
        <f>IF(ISERROR(VLOOKUP($A322,'Plano de Contas'!#REF!,10,FALSE)),"",VLOOKUP($A322,'Plano de Contas'!#REF!,10,FALSE))</f>
        <v/>
      </c>
      <c r="R322" s="6" t="e">
        <f>VLOOKUP(A322,'Plano de Contas'!#REF!,12,FALSE)</f>
        <v>#REF!</v>
      </c>
      <c r="T322" s="6" t="e">
        <f>VLOOKUP(A322,'Plano de Contas'!#REF!,13,FALSE)</f>
        <v>#REF!</v>
      </c>
    </row>
    <row r="323" spans="1:20" s="5" customFormat="1" x14ac:dyDescent="0.25">
      <c r="A323" t="s">
        <v>626</v>
      </c>
      <c r="B323">
        <v>162</v>
      </c>
      <c r="C323" t="s">
        <v>627</v>
      </c>
      <c r="D323" s="10">
        <v>1450534578.3299999</v>
      </c>
      <c r="E323" t="s">
        <v>35</v>
      </c>
      <c r="F323" s="10">
        <v>5223870.1100000003</v>
      </c>
      <c r="G323"/>
      <c r="H323" s="10">
        <v>744530974.78999996</v>
      </c>
      <c r="I323" t="s">
        <v>35</v>
      </c>
      <c r="J323" s="10">
        <v>2189841683.0100002</v>
      </c>
      <c r="K323" t="s">
        <v>35</v>
      </c>
      <c r="L323" s="1">
        <f t="shared" si="4"/>
        <v>-2189841683.0100002</v>
      </c>
      <c r="N323" s="6" t="str">
        <f>IF(ISERROR(VLOOKUP($A323,'Plano de Contas'!#REF!,8,FALSE)),"",VLOOKUP($A323,'Plano de Contas'!#REF!,8,FALSE))</f>
        <v/>
      </c>
      <c r="P323" s="6" t="str">
        <f>IF(ISERROR(VLOOKUP($A323,'Plano de Contas'!#REF!,10,FALSE)),"",VLOOKUP($A323,'Plano de Contas'!#REF!,10,FALSE))</f>
        <v/>
      </c>
      <c r="R323" s="6" t="e">
        <f>VLOOKUP(A323,'Plano de Contas'!#REF!,12,FALSE)</f>
        <v>#REF!</v>
      </c>
      <c r="T323" s="6" t="e">
        <f>VLOOKUP(A323,'Plano de Contas'!#REF!,13,FALSE)</f>
        <v>#REF!</v>
      </c>
    </row>
    <row r="324" spans="1:20" s="5" customFormat="1" x14ac:dyDescent="0.25">
      <c r="A324"/>
      <c r="B324"/>
      <c r="C324"/>
      <c r="D324" s="10"/>
      <c r="E324"/>
      <c r="F324" s="10"/>
      <c r="G324"/>
      <c r="H324" s="10"/>
      <c r="I324"/>
      <c r="J324" s="10"/>
      <c r="K324"/>
      <c r="L324" s="1">
        <f t="shared" si="4"/>
        <v>0</v>
      </c>
      <c r="N324" s="6" t="str">
        <f>IF(ISERROR(VLOOKUP($A324,'Plano de Contas'!#REF!,8,FALSE)),"",VLOOKUP($A324,'Plano de Contas'!#REF!,8,FALSE))</f>
        <v/>
      </c>
      <c r="P324" s="6" t="str">
        <f>IF(ISERROR(VLOOKUP($A324,'Plano de Contas'!#REF!,10,FALSE)),"",VLOOKUP($A324,'Plano de Contas'!#REF!,10,FALSE))</f>
        <v/>
      </c>
      <c r="R324" s="6" t="e">
        <f>VLOOKUP(A324,'Plano de Contas'!#REF!,12,FALSE)</f>
        <v>#REF!</v>
      </c>
      <c r="T324" s="6" t="e">
        <f>VLOOKUP(A324,'Plano de Contas'!#REF!,13,FALSE)</f>
        <v>#REF!</v>
      </c>
    </row>
    <row r="325" spans="1:20" s="5" customFormat="1" x14ac:dyDescent="0.25">
      <c r="A325" t="s">
        <v>631</v>
      </c>
      <c r="B325">
        <v>581</v>
      </c>
      <c r="C325" t="s">
        <v>632</v>
      </c>
      <c r="D325" s="10">
        <v>456530633.68000001</v>
      </c>
      <c r="E325" t="s">
        <v>35</v>
      </c>
      <c r="F325" s="10">
        <v>0</v>
      </c>
      <c r="G325"/>
      <c r="H325" s="10">
        <v>0</v>
      </c>
      <c r="I325"/>
      <c r="J325" s="10">
        <v>456530633.68000001</v>
      </c>
      <c r="K325" t="s">
        <v>35</v>
      </c>
      <c r="L325" s="1">
        <f t="shared" si="4"/>
        <v>-456530633.68000001</v>
      </c>
      <c r="N325" s="6" t="str">
        <f>IF(ISERROR(VLOOKUP($A325,'Plano de Contas'!#REF!,8,FALSE)),"",VLOOKUP($A325,'Plano de Contas'!#REF!,8,FALSE))</f>
        <v/>
      </c>
      <c r="P325" s="6" t="str">
        <f>IF(ISERROR(VLOOKUP($A325,'Plano de Contas'!#REF!,10,FALSE)),"",VLOOKUP($A325,'Plano de Contas'!#REF!,10,FALSE))</f>
        <v/>
      </c>
      <c r="R325" s="6" t="e">
        <f>VLOOKUP(A325,'Plano de Contas'!#REF!,12,FALSE)</f>
        <v>#REF!</v>
      </c>
      <c r="T325" s="6" t="e">
        <f>VLOOKUP(A325,'Plano de Contas'!#REF!,13,FALSE)</f>
        <v>#REF!</v>
      </c>
    </row>
    <row r="326" spans="1:20" s="5" customFormat="1" x14ac:dyDescent="0.25">
      <c r="A326" t="s">
        <v>633</v>
      </c>
      <c r="B326">
        <v>634</v>
      </c>
      <c r="C326" t="s">
        <v>634</v>
      </c>
      <c r="D326" s="10">
        <v>456530633.68000001</v>
      </c>
      <c r="E326" t="s">
        <v>35</v>
      </c>
      <c r="F326" s="10">
        <v>0</v>
      </c>
      <c r="G326"/>
      <c r="H326" s="10">
        <v>0</v>
      </c>
      <c r="I326"/>
      <c r="J326" s="10">
        <v>456530633.68000001</v>
      </c>
      <c r="K326" t="s">
        <v>35</v>
      </c>
      <c r="L326" s="1">
        <f t="shared" si="4"/>
        <v>-456530633.68000001</v>
      </c>
      <c r="N326" s="6" t="str">
        <f>IF(ISERROR(VLOOKUP($A326,'Plano de Contas'!#REF!,8,FALSE)),"",VLOOKUP($A326,'Plano de Contas'!#REF!,8,FALSE))</f>
        <v/>
      </c>
      <c r="P326" s="6" t="str">
        <f>IF(ISERROR(VLOOKUP($A326,'Plano de Contas'!#REF!,10,FALSE)),"",VLOOKUP($A326,'Plano de Contas'!#REF!,10,FALSE))</f>
        <v/>
      </c>
      <c r="R326" s="6" t="e">
        <f>VLOOKUP(A326,'Plano de Contas'!#REF!,12,FALSE)</f>
        <v>#REF!</v>
      </c>
      <c r="T326" s="6" t="e">
        <f>VLOOKUP(A326,'Plano de Contas'!#REF!,13,FALSE)</f>
        <v>#REF!</v>
      </c>
    </row>
    <row r="327" spans="1:20" s="5" customFormat="1" x14ac:dyDescent="0.25">
      <c r="A327"/>
      <c r="B327"/>
      <c r="C327"/>
      <c r="D327" s="10"/>
      <c r="E327"/>
      <c r="F327" s="10"/>
      <c r="G327"/>
      <c r="H327" s="10"/>
      <c r="I327"/>
      <c r="J327" s="10"/>
      <c r="K327"/>
      <c r="L327" s="1">
        <f t="shared" si="4"/>
        <v>0</v>
      </c>
      <c r="N327" s="6" t="str">
        <f>IF(ISERROR(VLOOKUP($A327,'Plano de Contas'!#REF!,8,FALSE)),"",VLOOKUP($A327,'Plano de Contas'!#REF!,8,FALSE))</f>
        <v/>
      </c>
      <c r="P327" s="6" t="str">
        <f>IF(ISERROR(VLOOKUP($A327,'Plano de Contas'!#REF!,10,FALSE)),"",VLOOKUP($A327,'Plano de Contas'!#REF!,10,FALSE))</f>
        <v/>
      </c>
      <c r="R327" s="6" t="e">
        <f>VLOOKUP(A327,'Plano de Contas'!#REF!,12,FALSE)</f>
        <v>#REF!</v>
      </c>
      <c r="T327" s="6" t="e">
        <f>VLOOKUP(A327,'Plano de Contas'!#REF!,13,FALSE)</f>
        <v>#REF!</v>
      </c>
    </row>
    <row r="328" spans="1:20" s="5" customFormat="1" x14ac:dyDescent="0.25">
      <c r="A328" t="s">
        <v>635</v>
      </c>
      <c r="B328">
        <v>613</v>
      </c>
      <c r="C328" t="s">
        <v>636</v>
      </c>
      <c r="D328" s="10">
        <v>644352639.44000006</v>
      </c>
      <c r="E328" t="s">
        <v>35</v>
      </c>
      <c r="F328" s="10">
        <v>0</v>
      </c>
      <c r="G328"/>
      <c r="H328" s="10">
        <v>0</v>
      </c>
      <c r="I328"/>
      <c r="J328" s="10">
        <v>644352639.44000006</v>
      </c>
      <c r="K328" t="s">
        <v>35</v>
      </c>
      <c r="L328" s="1">
        <f t="shared" ref="L328:L391" si="5">IF(K328="-",-J328,J328)</f>
        <v>-644352639.44000006</v>
      </c>
      <c r="N328" s="6" t="str">
        <f>IF(ISERROR(VLOOKUP($A328,'Plano de Contas'!#REF!,8,FALSE)),"",VLOOKUP($A328,'Plano de Contas'!#REF!,8,FALSE))</f>
        <v/>
      </c>
      <c r="P328" s="6" t="str">
        <f>IF(ISERROR(VLOOKUP($A328,'Plano de Contas'!#REF!,10,FALSE)),"",VLOOKUP($A328,'Plano de Contas'!#REF!,10,FALSE))</f>
        <v/>
      </c>
      <c r="R328" s="6" t="e">
        <f>VLOOKUP(A328,'Plano de Contas'!#REF!,12,FALSE)</f>
        <v>#REF!</v>
      </c>
      <c r="T328" s="6" t="e">
        <f>VLOOKUP(A328,'Plano de Contas'!#REF!,13,FALSE)</f>
        <v>#REF!</v>
      </c>
    </row>
    <row r="329" spans="1:20" s="5" customFormat="1" x14ac:dyDescent="0.25">
      <c r="A329" t="s">
        <v>637</v>
      </c>
      <c r="B329">
        <v>614</v>
      </c>
      <c r="C329" t="s">
        <v>638</v>
      </c>
      <c r="D329" s="10">
        <v>644352639.44000006</v>
      </c>
      <c r="E329" t="s">
        <v>35</v>
      </c>
      <c r="F329" s="10">
        <v>0</v>
      </c>
      <c r="G329"/>
      <c r="H329" s="10">
        <v>0</v>
      </c>
      <c r="I329"/>
      <c r="J329" s="10">
        <v>644352639.44000006</v>
      </c>
      <c r="K329" t="s">
        <v>35</v>
      </c>
      <c r="L329" s="1">
        <f t="shared" si="5"/>
        <v>-644352639.44000006</v>
      </c>
      <c r="N329" s="6" t="str">
        <f>IF(ISERROR(VLOOKUP($A329,'Plano de Contas'!#REF!,8,FALSE)),"",VLOOKUP($A329,'Plano de Contas'!#REF!,8,FALSE))</f>
        <v/>
      </c>
      <c r="P329" s="6" t="str">
        <f>IF(ISERROR(VLOOKUP($A329,'Plano de Contas'!#REF!,10,FALSE)),"",VLOOKUP($A329,'Plano de Contas'!#REF!,10,FALSE))</f>
        <v/>
      </c>
      <c r="R329" s="6" t="e">
        <f>VLOOKUP(A329,'Plano de Contas'!#REF!,12,FALSE)</f>
        <v>#REF!</v>
      </c>
      <c r="T329" s="6" t="e">
        <f>VLOOKUP(A329,'Plano de Contas'!#REF!,13,FALSE)</f>
        <v>#REF!</v>
      </c>
    </row>
    <row r="330" spans="1:20" s="5" customFormat="1" x14ac:dyDescent="0.25">
      <c r="A330"/>
      <c r="B330"/>
      <c r="C330"/>
      <c r="D330" s="10"/>
      <c r="E330"/>
      <c r="F330" s="10"/>
      <c r="G330"/>
      <c r="H330" s="10"/>
      <c r="I330"/>
      <c r="J330" s="10"/>
      <c r="K330"/>
      <c r="L330" s="1">
        <f t="shared" si="5"/>
        <v>0</v>
      </c>
      <c r="N330" s="6" t="str">
        <f>IF(ISERROR(VLOOKUP($A330,'Plano de Contas'!#REF!,8,FALSE)),"",VLOOKUP($A330,'Plano de Contas'!#REF!,8,FALSE))</f>
        <v/>
      </c>
      <c r="P330" s="6" t="str">
        <f>IF(ISERROR(VLOOKUP($A330,'Plano de Contas'!#REF!,10,FALSE)),"",VLOOKUP($A330,'Plano de Contas'!#REF!,10,FALSE))</f>
        <v/>
      </c>
      <c r="R330" s="6" t="e">
        <f>VLOOKUP(A330,'Plano de Contas'!#REF!,12,FALSE)</f>
        <v>#REF!</v>
      </c>
      <c r="T330" s="6" t="e">
        <f>VLOOKUP(A330,'Plano de Contas'!#REF!,13,FALSE)</f>
        <v>#REF!</v>
      </c>
    </row>
    <row r="331" spans="1:20" s="5" customFormat="1" x14ac:dyDescent="0.25">
      <c r="A331" t="s">
        <v>639</v>
      </c>
      <c r="B331">
        <v>165</v>
      </c>
      <c r="C331" t="s">
        <v>609</v>
      </c>
      <c r="D331" s="10">
        <v>2997882.95</v>
      </c>
      <c r="E331" t="s">
        <v>35</v>
      </c>
      <c r="F331" s="10">
        <v>0</v>
      </c>
      <c r="G331"/>
      <c r="H331" s="10">
        <v>8772641.1899999995</v>
      </c>
      <c r="I331" t="s">
        <v>35</v>
      </c>
      <c r="J331" s="10">
        <v>11770524.140000001</v>
      </c>
      <c r="K331" t="s">
        <v>35</v>
      </c>
      <c r="L331" s="1">
        <f t="shared" si="5"/>
        <v>-11770524.140000001</v>
      </c>
      <c r="N331" s="6" t="str">
        <f>IF(ISERROR(VLOOKUP($A331,'Plano de Contas'!#REF!,8,FALSE)),"",VLOOKUP($A331,'Plano de Contas'!#REF!,8,FALSE))</f>
        <v/>
      </c>
      <c r="P331" s="6" t="str">
        <f>IF(ISERROR(VLOOKUP($A331,'Plano de Contas'!#REF!,10,FALSE)),"",VLOOKUP($A331,'Plano de Contas'!#REF!,10,FALSE))</f>
        <v/>
      </c>
      <c r="R331" s="6" t="e">
        <f>VLOOKUP(A331,'Plano de Contas'!#REF!,12,FALSE)</f>
        <v>#REF!</v>
      </c>
      <c r="T331" s="6" t="e">
        <f>VLOOKUP(A331,'Plano de Contas'!#REF!,13,FALSE)</f>
        <v>#REF!</v>
      </c>
    </row>
    <row r="332" spans="1:20" s="5" customFormat="1" x14ac:dyDescent="0.25">
      <c r="A332" t="s">
        <v>640</v>
      </c>
      <c r="B332">
        <v>328</v>
      </c>
      <c r="C332" t="s">
        <v>641</v>
      </c>
      <c r="D332" s="10">
        <v>2997882.95</v>
      </c>
      <c r="E332" t="s">
        <v>35</v>
      </c>
      <c r="F332" s="10">
        <v>0</v>
      </c>
      <c r="G332"/>
      <c r="H332" s="10">
        <v>8772641.1899999995</v>
      </c>
      <c r="I332" t="s">
        <v>35</v>
      </c>
      <c r="J332" s="10">
        <v>11770524.140000001</v>
      </c>
      <c r="K332" t="s">
        <v>35</v>
      </c>
      <c r="L332" s="1">
        <f t="shared" si="5"/>
        <v>-11770524.140000001</v>
      </c>
      <c r="N332" s="6" t="str">
        <f>IF(ISERROR(VLOOKUP($A332,'Plano de Contas'!#REF!,8,FALSE)),"",VLOOKUP($A332,'Plano de Contas'!#REF!,8,FALSE))</f>
        <v/>
      </c>
      <c r="P332" s="6" t="str">
        <f>IF(ISERROR(VLOOKUP($A332,'Plano de Contas'!#REF!,10,FALSE)),"",VLOOKUP($A332,'Plano de Contas'!#REF!,10,FALSE))</f>
        <v/>
      </c>
      <c r="R332" s="6" t="e">
        <f>VLOOKUP(A332,'Plano de Contas'!#REF!,12,FALSE)</f>
        <v>#REF!</v>
      </c>
      <c r="T332" s="6" t="e">
        <f>VLOOKUP(A332,'Plano de Contas'!#REF!,13,FALSE)</f>
        <v>#REF!</v>
      </c>
    </row>
    <row r="333" spans="1:20" s="5" customFormat="1" x14ac:dyDescent="0.25">
      <c r="A333"/>
      <c r="B333"/>
      <c r="C333"/>
      <c r="D333" s="10"/>
      <c r="E333"/>
      <c r="F333" s="10"/>
      <c r="G333"/>
      <c r="H333" s="10"/>
      <c r="I333"/>
      <c r="J333" s="10"/>
      <c r="K333"/>
      <c r="L333" s="1">
        <f t="shared" si="5"/>
        <v>0</v>
      </c>
      <c r="N333" s="6" t="str">
        <f>IF(ISERROR(VLOOKUP($A333,'Plano de Contas'!#REF!,8,FALSE)),"",VLOOKUP($A333,'Plano de Contas'!#REF!,8,FALSE))</f>
        <v/>
      </c>
      <c r="P333" s="6" t="str">
        <f>IF(ISERROR(VLOOKUP($A333,'Plano de Contas'!#REF!,10,FALSE)),"",VLOOKUP($A333,'Plano de Contas'!#REF!,10,FALSE))</f>
        <v/>
      </c>
      <c r="R333" s="6" t="e">
        <f>VLOOKUP(A333,'Plano de Contas'!#REF!,12,FALSE)</f>
        <v>#REF!</v>
      </c>
      <c r="T333" s="6" t="e">
        <f>VLOOKUP(A333,'Plano de Contas'!#REF!,13,FALSE)</f>
        <v>#REF!</v>
      </c>
    </row>
    <row r="334" spans="1:20" s="5" customFormat="1" x14ac:dyDescent="0.25">
      <c r="A334" t="s">
        <v>648</v>
      </c>
      <c r="B334">
        <v>906</v>
      </c>
      <c r="C334" t="s">
        <v>649</v>
      </c>
      <c r="D334" s="10">
        <v>346653422.25999999</v>
      </c>
      <c r="E334" t="s">
        <v>35</v>
      </c>
      <c r="F334" s="10">
        <v>21500</v>
      </c>
      <c r="G334"/>
      <c r="H334" s="10">
        <v>254767.61</v>
      </c>
      <c r="I334" t="s">
        <v>35</v>
      </c>
      <c r="J334" s="10">
        <v>346886689.87</v>
      </c>
      <c r="K334" t="s">
        <v>35</v>
      </c>
      <c r="L334" s="1">
        <f t="shared" si="5"/>
        <v>-346886689.87</v>
      </c>
      <c r="N334" s="6" t="str">
        <f>IF(ISERROR(VLOOKUP($A334,'Plano de Contas'!#REF!,8,FALSE)),"",VLOOKUP($A334,'Plano de Contas'!#REF!,8,FALSE))</f>
        <v/>
      </c>
      <c r="P334" s="6" t="str">
        <f>IF(ISERROR(VLOOKUP($A334,'Plano de Contas'!#REF!,10,FALSE)),"",VLOOKUP($A334,'Plano de Contas'!#REF!,10,FALSE))</f>
        <v/>
      </c>
      <c r="R334" s="6" t="e">
        <f>VLOOKUP(A334,'Plano de Contas'!#REF!,12,FALSE)</f>
        <v>#REF!</v>
      </c>
      <c r="T334" s="6" t="e">
        <f>VLOOKUP(A334,'Plano de Contas'!#REF!,13,FALSE)</f>
        <v>#REF!</v>
      </c>
    </row>
    <row r="335" spans="1:20" s="5" customFormat="1" x14ac:dyDescent="0.25">
      <c r="A335" t="s">
        <v>650</v>
      </c>
      <c r="B335">
        <v>907</v>
      </c>
      <c r="C335" t="s">
        <v>651</v>
      </c>
      <c r="D335" s="10">
        <v>323442006.61000001</v>
      </c>
      <c r="E335" t="s">
        <v>35</v>
      </c>
      <c r="F335" s="10">
        <v>0</v>
      </c>
      <c r="G335"/>
      <c r="H335" s="10">
        <v>0</v>
      </c>
      <c r="I335"/>
      <c r="J335" s="10">
        <v>323442006.61000001</v>
      </c>
      <c r="K335" t="s">
        <v>35</v>
      </c>
      <c r="L335" s="1">
        <f t="shared" si="5"/>
        <v>-323442006.61000001</v>
      </c>
      <c r="N335" s="6" t="str">
        <f>IF(ISERROR(VLOOKUP($A335,'Plano de Contas'!#REF!,8,FALSE)),"",VLOOKUP($A335,'Plano de Contas'!#REF!,8,FALSE))</f>
        <v/>
      </c>
      <c r="P335" s="6" t="str">
        <f>IF(ISERROR(VLOOKUP($A335,'Plano de Contas'!#REF!,10,FALSE)),"",VLOOKUP($A335,'Plano de Contas'!#REF!,10,FALSE))</f>
        <v/>
      </c>
      <c r="R335" s="6" t="e">
        <f>VLOOKUP(A335,'Plano de Contas'!#REF!,12,FALSE)</f>
        <v>#REF!</v>
      </c>
      <c r="T335" s="6" t="e">
        <f>VLOOKUP(A335,'Plano de Contas'!#REF!,13,FALSE)</f>
        <v>#REF!</v>
      </c>
    </row>
    <row r="336" spans="1:20" s="5" customFormat="1" x14ac:dyDescent="0.25">
      <c r="A336" t="s">
        <v>1052</v>
      </c>
      <c r="B336">
        <v>1045</v>
      </c>
      <c r="C336" t="s">
        <v>1053</v>
      </c>
      <c r="D336" s="10">
        <v>-23211415.649999999</v>
      </c>
      <c r="E336"/>
      <c r="F336" s="10">
        <v>21500</v>
      </c>
      <c r="G336"/>
      <c r="H336" s="10">
        <v>-254767.61</v>
      </c>
      <c r="I336"/>
      <c r="J336" s="10">
        <v>-23444683.260000002</v>
      </c>
      <c r="K336"/>
      <c r="L336" s="1">
        <f t="shared" si="5"/>
        <v>-23444683.260000002</v>
      </c>
      <c r="N336" s="6" t="str">
        <f>IF(ISERROR(VLOOKUP($A336,'Plano de Contas'!#REF!,8,FALSE)),"",VLOOKUP($A336,'Plano de Contas'!#REF!,8,FALSE))</f>
        <v/>
      </c>
      <c r="P336" s="6" t="str">
        <f>IF(ISERROR(VLOOKUP($A336,'Plano de Contas'!#REF!,10,FALSE)),"",VLOOKUP($A336,'Plano de Contas'!#REF!,10,FALSE))</f>
        <v/>
      </c>
      <c r="R336" s="6" t="e">
        <f>VLOOKUP(A336,'Plano de Contas'!#REF!,12,FALSE)</f>
        <v>#REF!</v>
      </c>
      <c r="T336" s="6" t="e">
        <f>VLOOKUP(A336,'Plano de Contas'!#REF!,13,FALSE)</f>
        <v>#REF!</v>
      </c>
    </row>
    <row r="337" spans="1:20" s="5" customFormat="1" x14ac:dyDescent="0.25">
      <c r="A337"/>
      <c r="B337"/>
      <c r="C337"/>
      <c r="D337" s="10"/>
      <c r="E337"/>
      <c r="F337" s="10"/>
      <c r="G337"/>
      <c r="H337" s="10"/>
      <c r="I337"/>
      <c r="J337" s="10"/>
      <c r="K337"/>
      <c r="L337" s="1">
        <f t="shared" si="5"/>
        <v>0</v>
      </c>
      <c r="N337" s="6" t="str">
        <f>IF(ISERROR(VLOOKUP($A337,'Plano de Contas'!#REF!,8,FALSE)),"",VLOOKUP($A337,'Plano de Contas'!#REF!,8,FALSE))</f>
        <v/>
      </c>
      <c r="P337" s="6" t="str">
        <f>IF(ISERROR(VLOOKUP($A337,'Plano de Contas'!#REF!,10,FALSE)),"",VLOOKUP($A337,'Plano de Contas'!#REF!,10,FALSE))</f>
        <v/>
      </c>
      <c r="R337" s="6" t="e">
        <f>VLOOKUP(A337,'Plano de Contas'!#REF!,12,FALSE)</f>
        <v>#REF!</v>
      </c>
      <c r="T337" s="6" t="e">
        <f>VLOOKUP(A337,'Plano de Contas'!#REF!,13,FALSE)</f>
        <v>#REF!</v>
      </c>
    </row>
    <row r="338" spans="1:20" s="5" customFormat="1" x14ac:dyDescent="0.25">
      <c r="A338" t="s">
        <v>1197</v>
      </c>
      <c r="B338">
        <v>1089</v>
      </c>
      <c r="C338" t="s">
        <v>1198</v>
      </c>
      <c r="D338" s="10">
        <v>0</v>
      </c>
      <c r="E338"/>
      <c r="F338" s="10">
        <v>5202370.1100000003</v>
      </c>
      <c r="G338"/>
      <c r="H338" s="10">
        <v>735503565.99000001</v>
      </c>
      <c r="I338" t="s">
        <v>35</v>
      </c>
      <c r="J338" s="10">
        <v>730301195.88</v>
      </c>
      <c r="K338" t="s">
        <v>35</v>
      </c>
      <c r="L338" s="1">
        <f t="shared" si="5"/>
        <v>-730301195.88</v>
      </c>
      <c r="N338" s="6" t="str">
        <f>IF(ISERROR(VLOOKUP($A338,'Plano de Contas'!#REF!,8,FALSE)),"",VLOOKUP($A338,'Plano de Contas'!#REF!,8,FALSE))</f>
        <v/>
      </c>
      <c r="P338" s="6" t="str">
        <f>IF(ISERROR(VLOOKUP($A338,'Plano de Contas'!#REF!,10,FALSE)),"",VLOOKUP($A338,'Plano de Contas'!#REF!,10,FALSE))</f>
        <v/>
      </c>
      <c r="R338" s="6" t="e">
        <f>VLOOKUP(A338,'Plano de Contas'!#REF!,12,FALSE)</f>
        <v>#REF!</v>
      </c>
      <c r="T338" s="6" t="e">
        <f>VLOOKUP(A338,'Plano de Contas'!#REF!,13,FALSE)</f>
        <v>#REF!</v>
      </c>
    </row>
    <row r="339" spans="1:20" s="5" customFormat="1" x14ac:dyDescent="0.25">
      <c r="A339" t="s">
        <v>1199</v>
      </c>
      <c r="B339">
        <v>1090</v>
      </c>
      <c r="C339" t="s">
        <v>1200</v>
      </c>
      <c r="D339" s="10">
        <v>0</v>
      </c>
      <c r="E339"/>
      <c r="F339" s="10">
        <v>3825272.14</v>
      </c>
      <c r="G339"/>
      <c r="H339" s="10">
        <v>540811445.58000004</v>
      </c>
      <c r="I339" t="s">
        <v>35</v>
      </c>
      <c r="J339" s="10">
        <v>536986173.44000006</v>
      </c>
      <c r="K339" t="s">
        <v>35</v>
      </c>
      <c r="L339" s="1">
        <f t="shared" si="5"/>
        <v>-536986173.44000006</v>
      </c>
      <c r="N339" s="6" t="str">
        <f>IF(ISERROR(VLOOKUP($A339,'Plano de Contas'!#REF!,8,FALSE)),"",VLOOKUP($A339,'Plano de Contas'!#REF!,8,FALSE))</f>
        <v/>
      </c>
      <c r="P339" s="6" t="str">
        <f>IF(ISERROR(VLOOKUP($A339,'Plano de Contas'!#REF!,10,FALSE)),"",VLOOKUP($A339,'Plano de Contas'!#REF!,10,FALSE))</f>
        <v/>
      </c>
      <c r="R339" s="6" t="e">
        <f>VLOOKUP(A339,'Plano de Contas'!#REF!,12,FALSE)</f>
        <v>#REF!</v>
      </c>
      <c r="T339" s="6" t="e">
        <f>VLOOKUP(A339,'Plano de Contas'!#REF!,13,FALSE)</f>
        <v>#REF!</v>
      </c>
    </row>
    <row r="340" spans="1:20" s="5" customFormat="1" x14ac:dyDescent="0.25">
      <c r="A340" t="s">
        <v>1201</v>
      </c>
      <c r="B340">
        <v>1091</v>
      </c>
      <c r="C340" t="s">
        <v>1202</v>
      </c>
      <c r="D340" s="10">
        <v>0</v>
      </c>
      <c r="E340"/>
      <c r="F340" s="10">
        <v>1377097.97</v>
      </c>
      <c r="G340"/>
      <c r="H340" s="10">
        <v>194692120.41</v>
      </c>
      <c r="I340" t="s">
        <v>35</v>
      </c>
      <c r="J340" s="10">
        <v>193315022.44</v>
      </c>
      <c r="K340" t="s">
        <v>35</v>
      </c>
      <c r="L340" s="1">
        <f t="shared" si="5"/>
        <v>-193315022.44</v>
      </c>
      <c r="N340" s="6" t="str">
        <f>IF(ISERROR(VLOOKUP($A340,'Plano de Contas'!#REF!,8,FALSE)),"",VLOOKUP($A340,'Plano de Contas'!#REF!,8,FALSE))</f>
        <v/>
      </c>
      <c r="P340" s="6" t="str">
        <f>IF(ISERROR(VLOOKUP($A340,'Plano de Contas'!#REF!,10,FALSE)),"",VLOOKUP($A340,'Plano de Contas'!#REF!,10,FALSE))</f>
        <v/>
      </c>
      <c r="R340" s="6" t="e">
        <f>VLOOKUP(A340,'Plano de Contas'!#REF!,12,FALSE)</f>
        <v>#REF!</v>
      </c>
      <c r="T340" s="6" t="e">
        <f>VLOOKUP(A340,'Plano de Contas'!#REF!,13,FALSE)</f>
        <v>#REF!</v>
      </c>
    </row>
    <row r="341" spans="1:20" s="5" customFormat="1" x14ac:dyDescent="0.25">
      <c r="A341"/>
      <c r="B341"/>
      <c r="C341"/>
      <c r="D341" s="10"/>
      <c r="E341"/>
      <c r="F341" s="10"/>
      <c r="G341"/>
      <c r="H341" s="10"/>
      <c r="I341"/>
      <c r="J341" s="10"/>
      <c r="K341"/>
      <c r="L341" s="1">
        <f t="shared" si="5"/>
        <v>0</v>
      </c>
      <c r="N341" s="6" t="str">
        <f>IF(ISERROR(VLOOKUP($A341,'Plano de Contas'!#REF!,8,FALSE)),"",VLOOKUP($A341,'Plano de Contas'!#REF!,8,FALSE))</f>
        <v/>
      </c>
      <c r="P341" s="6" t="str">
        <f>IF(ISERROR(VLOOKUP($A341,'Plano de Contas'!#REF!,10,FALSE)),"",VLOOKUP($A341,'Plano de Contas'!#REF!,10,FALSE))</f>
        <v/>
      </c>
      <c r="R341" s="6" t="e">
        <f>VLOOKUP(A341,'Plano de Contas'!#REF!,12,FALSE)</f>
        <v>#REF!</v>
      </c>
      <c r="T341" s="6" t="e">
        <f>VLOOKUP(A341,'Plano de Contas'!#REF!,13,FALSE)</f>
        <v>#REF!</v>
      </c>
    </row>
    <row r="342" spans="1:20" s="5" customFormat="1" x14ac:dyDescent="0.25">
      <c r="A342" t="s">
        <v>652</v>
      </c>
      <c r="B342">
        <v>168</v>
      </c>
      <c r="C342" t="s">
        <v>653</v>
      </c>
      <c r="D342" s="10">
        <v>3656203548.3899999</v>
      </c>
      <c r="E342" t="s">
        <v>35</v>
      </c>
      <c r="F342" s="10">
        <v>853423331.58000004</v>
      </c>
      <c r="G342"/>
      <c r="H342" s="10">
        <v>114667428.64</v>
      </c>
      <c r="I342" t="s">
        <v>35</v>
      </c>
      <c r="J342" s="10">
        <v>2917447645.4499998</v>
      </c>
      <c r="K342" t="s">
        <v>35</v>
      </c>
      <c r="L342" s="1">
        <f t="shared" si="5"/>
        <v>-2917447645.4499998</v>
      </c>
      <c r="N342" s="6" t="str">
        <f>IF(ISERROR(VLOOKUP($A342,'Plano de Contas'!#REF!,8,FALSE)),"",VLOOKUP($A342,'Plano de Contas'!#REF!,8,FALSE))</f>
        <v/>
      </c>
      <c r="P342" s="6" t="str">
        <f>IF(ISERROR(VLOOKUP($A342,'Plano de Contas'!#REF!,10,FALSE)),"",VLOOKUP($A342,'Plano de Contas'!#REF!,10,FALSE))</f>
        <v/>
      </c>
      <c r="R342" s="6" t="e">
        <f>VLOOKUP(A342,'Plano de Contas'!#REF!,12,FALSE)</f>
        <v>#REF!</v>
      </c>
      <c r="T342" s="6" t="e">
        <f>VLOOKUP(A342,'Plano de Contas'!#REF!,13,FALSE)</f>
        <v>#REF!</v>
      </c>
    </row>
    <row r="343" spans="1:20" s="5" customFormat="1" x14ac:dyDescent="0.25">
      <c r="A343"/>
      <c r="B343"/>
      <c r="C343"/>
      <c r="D343" s="10"/>
      <c r="E343"/>
      <c r="F343" s="10"/>
      <c r="G343"/>
      <c r="H343" s="10"/>
      <c r="I343"/>
      <c r="J343" s="10"/>
      <c r="K343"/>
      <c r="L343" s="1">
        <f t="shared" si="5"/>
        <v>0</v>
      </c>
      <c r="N343" s="6" t="str">
        <f>IF(ISERROR(VLOOKUP($A343,'Plano de Contas'!#REF!,8,FALSE)),"",VLOOKUP($A343,'Plano de Contas'!#REF!,8,FALSE))</f>
        <v/>
      </c>
      <c r="P343" s="6" t="str">
        <f>IF(ISERROR(VLOOKUP($A343,'Plano de Contas'!#REF!,10,FALSE)),"",VLOOKUP($A343,'Plano de Contas'!#REF!,10,FALSE))</f>
        <v/>
      </c>
      <c r="R343" s="6" t="e">
        <f>VLOOKUP(A343,'Plano de Contas'!#REF!,12,FALSE)</f>
        <v>#REF!</v>
      </c>
      <c r="T343" s="6" t="e">
        <f>VLOOKUP(A343,'Plano de Contas'!#REF!,13,FALSE)</f>
        <v>#REF!</v>
      </c>
    </row>
    <row r="344" spans="1:20" s="5" customFormat="1" x14ac:dyDescent="0.25">
      <c r="A344" t="s">
        <v>654</v>
      </c>
      <c r="B344">
        <v>169</v>
      </c>
      <c r="C344" t="s">
        <v>655</v>
      </c>
      <c r="D344" s="10">
        <v>1426422011.3599999</v>
      </c>
      <c r="E344" t="s">
        <v>35</v>
      </c>
      <c r="F344" s="10">
        <v>0</v>
      </c>
      <c r="G344"/>
      <c r="H344" s="10">
        <v>0</v>
      </c>
      <c r="I344"/>
      <c r="J344" s="10">
        <v>1426422011.3599999</v>
      </c>
      <c r="K344" t="s">
        <v>35</v>
      </c>
      <c r="L344" s="1">
        <f t="shared" si="5"/>
        <v>-1426422011.3599999</v>
      </c>
      <c r="N344" s="6" t="str">
        <f>IF(ISERROR(VLOOKUP($A344,'Plano de Contas'!#REF!,8,FALSE)),"",VLOOKUP($A344,'Plano de Contas'!#REF!,8,FALSE))</f>
        <v/>
      </c>
      <c r="P344" s="6" t="str">
        <f>IF(ISERROR(VLOOKUP($A344,'Plano de Contas'!#REF!,10,FALSE)),"",VLOOKUP($A344,'Plano de Contas'!#REF!,10,FALSE))</f>
        <v/>
      </c>
      <c r="R344" s="6" t="e">
        <f>VLOOKUP(A344,'Plano de Contas'!#REF!,12,FALSE)</f>
        <v>#REF!</v>
      </c>
      <c r="T344" s="6" t="e">
        <f>VLOOKUP(A344,'Plano de Contas'!#REF!,13,FALSE)</f>
        <v>#REF!</v>
      </c>
    </row>
    <row r="345" spans="1:20" s="5" customFormat="1" x14ac:dyDescent="0.25">
      <c r="A345"/>
      <c r="B345"/>
      <c r="C345"/>
      <c r="D345" s="10"/>
      <c r="E345"/>
      <c r="F345" s="10"/>
      <c r="G345"/>
      <c r="H345" s="10"/>
      <c r="I345"/>
      <c r="J345" s="10"/>
      <c r="K345"/>
      <c r="L345" s="1">
        <f t="shared" si="5"/>
        <v>0</v>
      </c>
      <c r="N345" s="6" t="str">
        <f>IF(ISERROR(VLOOKUP($A345,'Plano de Contas'!#REF!,8,FALSE)),"",VLOOKUP($A345,'Plano de Contas'!#REF!,8,FALSE))</f>
        <v/>
      </c>
      <c r="P345" s="6" t="str">
        <f>IF(ISERROR(VLOOKUP($A345,'Plano de Contas'!#REF!,10,FALSE)),"",VLOOKUP($A345,'Plano de Contas'!#REF!,10,FALSE))</f>
        <v/>
      </c>
      <c r="R345" s="6" t="e">
        <f>VLOOKUP(A345,'Plano de Contas'!#REF!,12,FALSE)</f>
        <v>#REF!</v>
      </c>
      <c r="T345" s="6" t="e">
        <f>VLOOKUP(A345,'Plano de Contas'!#REF!,13,FALSE)</f>
        <v>#REF!</v>
      </c>
    </row>
    <row r="346" spans="1:20" s="5" customFormat="1" x14ac:dyDescent="0.25">
      <c r="A346" t="s">
        <v>656</v>
      </c>
      <c r="B346">
        <v>170</v>
      </c>
      <c r="C346" t="s">
        <v>657</v>
      </c>
      <c r="D346" s="10">
        <v>1426422011.3599999</v>
      </c>
      <c r="E346" t="s">
        <v>35</v>
      </c>
      <c r="F346" s="10">
        <v>0</v>
      </c>
      <c r="G346"/>
      <c r="H346" s="10">
        <v>0</v>
      </c>
      <c r="I346"/>
      <c r="J346" s="10">
        <v>1426422011.3599999</v>
      </c>
      <c r="K346" t="s">
        <v>35</v>
      </c>
      <c r="L346" s="1">
        <f t="shared" si="5"/>
        <v>-1426422011.3599999</v>
      </c>
      <c r="N346" s="6" t="str">
        <f>IF(ISERROR(VLOOKUP($A346,'Plano de Contas'!#REF!,8,FALSE)),"",VLOOKUP($A346,'Plano de Contas'!#REF!,8,FALSE))</f>
        <v/>
      </c>
      <c r="P346" s="6" t="str">
        <f>IF(ISERROR(VLOOKUP($A346,'Plano de Contas'!#REF!,10,FALSE)),"",VLOOKUP($A346,'Plano de Contas'!#REF!,10,FALSE))</f>
        <v/>
      </c>
      <c r="R346" s="6" t="e">
        <f>VLOOKUP(A346,'Plano de Contas'!#REF!,12,FALSE)</f>
        <v>#REF!</v>
      </c>
      <c r="T346" s="6" t="e">
        <f>VLOOKUP(A346,'Plano de Contas'!#REF!,13,FALSE)</f>
        <v>#REF!</v>
      </c>
    </row>
    <row r="347" spans="1:20" s="5" customFormat="1" x14ac:dyDescent="0.25">
      <c r="A347" t="s">
        <v>658</v>
      </c>
      <c r="B347">
        <v>171</v>
      </c>
      <c r="C347" t="s">
        <v>659</v>
      </c>
      <c r="D347" s="10">
        <v>1426422011.3599999</v>
      </c>
      <c r="E347" t="s">
        <v>35</v>
      </c>
      <c r="F347" s="10">
        <v>0</v>
      </c>
      <c r="G347"/>
      <c r="H347" s="10">
        <v>0</v>
      </c>
      <c r="I347"/>
      <c r="J347" s="10">
        <v>1426422011.3599999</v>
      </c>
      <c r="K347" t="s">
        <v>35</v>
      </c>
      <c r="L347" s="1">
        <f t="shared" si="5"/>
        <v>-1426422011.3599999</v>
      </c>
      <c r="N347" s="6" t="str">
        <f>IF(ISERROR(VLOOKUP($A347,'Plano de Contas'!#REF!,8,FALSE)),"",VLOOKUP($A347,'Plano de Contas'!#REF!,8,FALSE))</f>
        <v/>
      </c>
      <c r="P347" s="6" t="str">
        <f>IF(ISERROR(VLOOKUP($A347,'Plano de Contas'!#REF!,10,FALSE)),"",VLOOKUP($A347,'Plano de Contas'!#REF!,10,FALSE))</f>
        <v/>
      </c>
      <c r="R347" s="6" t="e">
        <f>VLOOKUP(A347,'Plano de Contas'!#REF!,12,FALSE)</f>
        <v>#REF!</v>
      </c>
      <c r="T347" s="6" t="e">
        <f>VLOOKUP(A347,'Plano de Contas'!#REF!,13,FALSE)</f>
        <v>#REF!</v>
      </c>
    </row>
    <row r="348" spans="1:20" s="5" customFormat="1" x14ac:dyDescent="0.25">
      <c r="A348"/>
      <c r="B348"/>
      <c r="C348"/>
      <c r="D348" s="10"/>
      <c r="E348"/>
      <c r="F348" s="10"/>
      <c r="G348"/>
      <c r="H348" s="10"/>
      <c r="I348"/>
      <c r="J348" s="10"/>
      <c r="K348"/>
      <c r="L348" s="1">
        <f t="shared" si="5"/>
        <v>0</v>
      </c>
      <c r="N348" s="6" t="str">
        <f>IF(ISERROR(VLOOKUP($A348,'Plano de Contas'!#REF!,8,FALSE)),"",VLOOKUP($A348,'Plano de Contas'!#REF!,8,FALSE))</f>
        <v/>
      </c>
      <c r="P348" s="6" t="str">
        <f>IF(ISERROR(VLOOKUP($A348,'Plano de Contas'!#REF!,10,FALSE)),"",VLOOKUP($A348,'Plano de Contas'!#REF!,10,FALSE))</f>
        <v/>
      </c>
      <c r="R348" s="6" t="e">
        <f>VLOOKUP(A348,'Plano de Contas'!#REF!,12,FALSE)</f>
        <v>#REF!</v>
      </c>
      <c r="T348" s="6" t="e">
        <f>VLOOKUP(A348,'Plano de Contas'!#REF!,13,FALSE)</f>
        <v>#REF!</v>
      </c>
    </row>
    <row r="349" spans="1:20" s="5" customFormat="1" x14ac:dyDescent="0.25">
      <c r="A349" t="s">
        <v>660</v>
      </c>
      <c r="B349">
        <v>173</v>
      </c>
      <c r="C349" t="s">
        <v>661</v>
      </c>
      <c r="D349" s="10">
        <v>2188285402.5599999</v>
      </c>
      <c r="E349" t="s">
        <v>35</v>
      </c>
      <c r="F349" s="10">
        <v>736300707.39999998</v>
      </c>
      <c r="G349"/>
      <c r="H349" s="10">
        <v>457500</v>
      </c>
      <c r="I349" t="s">
        <v>35</v>
      </c>
      <c r="J349" s="10">
        <v>1452442195.1600001</v>
      </c>
      <c r="K349" t="s">
        <v>35</v>
      </c>
      <c r="L349" s="1">
        <f t="shared" si="5"/>
        <v>-1452442195.1600001</v>
      </c>
      <c r="N349" s="6" t="str">
        <f>IF(ISERROR(VLOOKUP($A349,'Plano de Contas'!#REF!,8,FALSE)),"",VLOOKUP($A349,'Plano de Contas'!#REF!,8,FALSE))</f>
        <v/>
      </c>
      <c r="P349" s="6" t="str">
        <f>IF(ISERROR(VLOOKUP($A349,'Plano de Contas'!#REF!,10,FALSE)),"",VLOOKUP($A349,'Plano de Contas'!#REF!,10,FALSE))</f>
        <v/>
      </c>
      <c r="R349" s="6" t="e">
        <f>VLOOKUP(A349,'Plano de Contas'!#REF!,12,FALSE)</f>
        <v>#REF!</v>
      </c>
      <c r="T349" s="6" t="e">
        <f>VLOOKUP(A349,'Plano de Contas'!#REF!,13,FALSE)</f>
        <v>#REF!</v>
      </c>
    </row>
    <row r="350" spans="1:20" s="5" customFormat="1" x14ac:dyDescent="0.25">
      <c r="A350"/>
      <c r="B350"/>
      <c r="C350"/>
      <c r="D350" s="10"/>
      <c r="E350"/>
      <c r="F350"/>
      <c r="G350"/>
      <c r="H350"/>
      <c r="I350"/>
      <c r="J350" s="10"/>
      <c r="K350"/>
      <c r="L350" s="1">
        <f t="shared" si="5"/>
        <v>0</v>
      </c>
      <c r="N350" s="6" t="str">
        <f>IF(ISERROR(VLOOKUP($A350,'Plano de Contas'!#REF!,8,FALSE)),"",VLOOKUP($A350,'Plano de Contas'!#REF!,8,FALSE))</f>
        <v/>
      </c>
      <c r="P350" s="6" t="str">
        <f>IF(ISERROR(VLOOKUP($A350,'Plano de Contas'!#REF!,10,FALSE)),"",VLOOKUP($A350,'Plano de Contas'!#REF!,10,FALSE))</f>
        <v/>
      </c>
      <c r="R350" s="6" t="e">
        <f>VLOOKUP(A350,'Plano de Contas'!#REF!,12,FALSE)</f>
        <v>#REF!</v>
      </c>
      <c r="T350" s="6" t="e">
        <f>VLOOKUP(A350,'Plano de Contas'!#REF!,13,FALSE)</f>
        <v>#REF!</v>
      </c>
    </row>
    <row r="351" spans="1:20" s="5" customFormat="1" x14ac:dyDescent="0.25">
      <c r="A351" t="s">
        <v>662</v>
      </c>
      <c r="B351">
        <v>174</v>
      </c>
      <c r="C351" t="s">
        <v>663</v>
      </c>
      <c r="D351" s="10">
        <v>948261.98</v>
      </c>
      <c r="E351" t="s">
        <v>35</v>
      </c>
      <c r="F351" s="10">
        <v>0</v>
      </c>
      <c r="G351"/>
      <c r="H351" s="10">
        <v>0</v>
      </c>
      <c r="I351"/>
      <c r="J351" s="10">
        <v>948261.98</v>
      </c>
      <c r="K351" t="s">
        <v>35</v>
      </c>
      <c r="L351" s="1">
        <f t="shared" si="5"/>
        <v>-948261.98</v>
      </c>
      <c r="N351" s="6" t="str">
        <f>IF(ISERROR(VLOOKUP($A351,'Plano de Contas'!#REF!,8,FALSE)),"",VLOOKUP($A351,'Plano de Contas'!#REF!,8,FALSE))</f>
        <v/>
      </c>
      <c r="P351" s="6" t="str">
        <f>IF(ISERROR(VLOOKUP($A351,'Plano de Contas'!#REF!,10,FALSE)),"",VLOOKUP($A351,'Plano de Contas'!#REF!,10,FALSE))</f>
        <v/>
      </c>
      <c r="R351" s="6" t="e">
        <f>VLOOKUP(A351,'Plano de Contas'!#REF!,12,FALSE)</f>
        <v>#REF!</v>
      </c>
      <c r="T351" s="6" t="e">
        <f>VLOOKUP(A351,'Plano de Contas'!#REF!,13,FALSE)</f>
        <v>#REF!</v>
      </c>
    </row>
    <row r="352" spans="1:20" s="5" customFormat="1" x14ac:dyDescent="0.25">
      <c r="A352" t="s">
        <v>664</v>
      </c>
      <c r="B352">
        <v>175</v>
      </c>
      <c r="C352" t="s">
        <v>665</v>
      </c>
      <c r="D352" s="10">
        <v>-2777.91</v>
      </c>
      <c r="E352"/>
      <c r="F352" s="10">
        <v>0</v>
      </c>
      <c r="G352"/>
      <c r="H352" s="10">
        <v>0</v>
      </c>
      <c r="I352"/>
      <c r="J352" s="10">
        <v>-2777.91</v>
      </c>
      <c r="K352"/>
      <c r="L352" s="1">
        <f t="shared" si="5"/>
        <v>-2777.91</v>
      </c>
      <c r="N352" s="6" t="str">
        <f>IF(ISERROR(VLOOKUP($A352,'Plano de Contas'!#REF!,8,FALSE)),"",VLOOKUP($A352,'Plano de Contas'!#REF!,8,FALSE))</f>
        <v/>
      </c>
      <c r="P352" s="6" t="str">
        <f>IF(ISERROR(VLOOKUP($A352,'Plano de Contas'!#REF!,10,FALSE)),"",VLOOKUP($A352,'Plano de Contas'!#REF!,10,FALSE))</f>
        <v/>
      </c>
      <c r="R352" s="6" t="e">
        <f>VLOOKUP(A352,'Plano de Contas'!#REF!,12,FALSE)</f>
        <v>#REF!</v>
      </c>
      <c r="T352" s="6" t="e">
        <f>VLOOKUP(A352,'Plano de Contas'!#REF!,13,FALSE)</f>
        <v>#REF!</v>
      </c>
    </row>
    <row r="353" spans="1:20" s="5" customFormat="1" x14ac:dyDescent="0.25">
      <c r="A353" t="s">
        <v>666</v>
      </c>
      <c r="B353">
        <v>176</v>
      </c>
      <c r="C353" t="s">
        <v>667</v>
      </c>
      <c r="D353" s="10">
        <v>-2193.35</v>
      </c>
      <c r="E353"/>
      <c r="F353">
        <v>0</v>
      </c>
      <c r="G353"/>
      <c r="H353">
        <v>0</v>
      </c>
      <c r="I353"/>
      <c r="J353" s="10">
        <v>-2193.35</v>
      </c>
      <c r="K353"/>
      <c r="L353" s="1">
        <f t="shared" si="5"/>
        <v>-2193.35</v>
      </c>
      <c r="N353" s="6" t="str">
        <f>IF(ISERROR(VLOOKUP($A353,'Plano de Contas'!#REF!,8,FALSE)),"",VLOOKUP($A353,'Plano de Contas'!#REF!,8,FALSE))</f>
        <v/>
      </c>
      <c r="P353" s="6" t="str">
        <f>IF(ISERROR(VLOOKUP($A353,'Plano de Contas'!#REF!,10,FALSE)),"",VLOOKUP($A353,'Plano de Contas'!#REF!,10,FALSE))</f>
        <v/>
      </c>
      <c r="R353" s="6" t="e">
        <f>VLOOKUP(A353,'Plano de Contas'!#REF!,12,FALSE)</f>
        <v>#REF!</v>
      </c>
      <c r="T353" s="6" t="e">
        <f>VLOOKUP(A353,'Plano de Contas'!#REF!,13,FALSE)</f>
        <v>#REF!</v>
      </c>
    </row>
    <row r="354" spans="1:20" s="5" customFormat="1" x14ac:dyDescent="0.25">
      <c r="A354" t="s">
        <v>668</v>
      </c>
      <c r="B354">
        <v>515</v>
      </c>
      <c r="C354" t="s">
        <v>669</v>
      </c>
      <c r="D354" s="10">
        <v>-920000</v>
      </c>
      <c r="E354"/>
      <c r="F354">
        <v>0</v>
      </c>
      <c r="G354"/>
      <c r="H354" s="10">
        <v>0</v>
      </c>
      <c r="I354"/>
      <c r="J354" s="10">
        <v>-920000</v>
      </c>
      <c r="K354"/>
      <c r="L354" s="1">
        <f t="shared" si="5"/>
        <v>-920000</v>
      </c>
      <c r="N354" s="6" t="str">
        <f>IF(ISERROR(VLOOKUP($A354,'Plano de Contas'!#REF!,8,FALSE)),"",VLOOKUP($A354,'Plano de Contas'!#REF!,8,FALSE))</f>
        <v/>
      </c>
      <c r="P354" s="6" t="str">
        <f>IF(ISERROR(VLOOKUP($A354,'Plano de Contas'!#REF!,10,FALSE)),"",VLOOKUP($A354,'Plano de Contas'!#REF!,10,FALSE))</f>
        <v/>
      </c>
      <c r="R354" s="6" t="e">
        <f>VLOOKUP(A354,'Plano de Contas'!#REF!,12,FALSE)</f>
        <v>#REF!</v>
      </c>
      <c r="T354" s="6" t="e">
        <f>VLOOKUP(A354,'Plano de Contas'!#REF!,13,FALSE)</f>
        <v>#REF!</v>
      </c>
    </row>
    <row r="355" spans="1:20" s="5" customFormat="1" x14ac:dyDescent="0.25">
      <c r="A355" t="s">
        <v>670</v>
      </c>
      <c r="B355">
        <v>565</v>
      </c>
      <c r="C355" t="s">
        <v>671</v>
      </c>
      <c r="D355" s="10">
        <v>-23290.720000000001</v>
      </c>
      <c r="E355"/>
      <c r="F355">
        <v>0</v>
      </c>
      <c r="G355"/>
      <c r="H355" s="10">
        <v>0</v>
      </c>
      <c r="I355"/>
      <c r="J355" s="10">
        <v>-23290.720000000001</v>
      </c>
      <c r="K355"/>
      <c r="L355" s="1">
        <f t="shared" si="5"/>
        <v>-23290.720000000001</v>
      </c>
      <c r="N355" s="6" t="str">
        <f>IF(ISERROR(VLOOKUP($A355,'Plano de Contas'!#REF!,8,FALSE)),"",VLOOKUP($A355,'Plano de Contas'!#REF!,8,FALSE))</f>
        <v/>
      </c>
      <c r="P355" s="6" t="str">
        <f>IF(ISERROR(VLOOKUP($A355,'Plano de Contas'!#REF!,10,FALSE)),"",VLOOKUP($A355,'Plano de Contas'!#REF!,10,FALSE))</f>
        <v/>
      </c>
      <c r="R355" s="6" t="e">
        <f>VLOOKUP(A355,'Plano de Contas'!#REF!,12,FALSE)</f>
        <v>#REF!</v>
      </c>
      <c r="T355" s="6" t="e">
        <f>VLOOKUP(A355,'Plano de Contas'!#REF!,13,FALSE)</f>
        <v>#REF!</v>
      </c>
    </row>
    <row r="356" spans="1:20" s="5" customFormat="1" x14ac:dyDescent="0.25">
      <c r="A356"/>
      <c r="B356"/>
      <c r="C356"/>
      <c r="D356" s="10"/>
      <c r="E356"/>
      <c r="F356"/>
      <c r="G356"/>
      <c r="H356"/>
      <c r="I356"/>
      <c r="J356" s="10"/>
      <c r="K356"/>
      <c r="L356" s="1">
        <f t="shared" si="5"/>
        <v>0</v>
      </c>
      <c r="N356" s="6" t="str">
        <f>IF(ISERROR(VLOOKUP($A356,'Plano de Contas'!#REF!,8,FALSE)),"",VLOOKUP($A356,'Plano de Contas'!#REF!,8,FALSE))</f>
        <v/>
      </c>
      <c r="P356" s="6" t="str">
        <f>IF(ISERROR(VLOOKUP($A356,'Plano de Contas'!#REF!,10,FALSE)),"",VLOOKUP($A356,'Plano de Contas'!#REF!,10,FALSE))</f>
        <v/>
      </c>
      <c r="R356" s="6" t="e">
        <f>VLOOKUP(A356,'Plano de Contas'!#REF!,12,FALSE)</f>
        <v>#REF!</v>
      </c>
      <c r="T356" s="6" t="e">
        <f>VLOOKUP(A356,'Plano de Contas'!#REF!,13,FALSE)</f>
        <v>#REF!</v>
      </c>
    </row>
    <row r="357" spans="1:20" s="5" customFormat="1" x14ac:dyDescent="0.25">
      <c r="A357" t="s">
        <v>1203</v>
      </c>
      <c r="B357">
        <v>1102</v>
      </c>
      <c r="C357" t="s">
        <v>1204</v>
      </c>
      <c r="D357" s="10">
        <v>23257532.280000001</v>
      </c>
      <c r="E357" t="s">
        <v>35</v>
      </c>
      <c r="F357" s="10">
        <v>0</v>
      </c>
      <c r="G357"/>
      <c r="H357" s="10">
        <v>457500</v>
      </c>
      <c r="I357" t="s">
        <v>35</v>
      </c>
      <c r="J357" s="10">
        <v>23715032.280000001</v>
      </c>
      <c r="K357" t="s">
        <v>35</v>
      </c>
      <c r="L357" s="1">
        <f t="shared" si="5"/>
        <v>-23715032.280000001</v>
      </c>
      <c r="N357" s="6" t="str">
        <f>IF(ISERROR(VLOOKUP($A357,'Plano de Contas'!#REF!,8,FALSE)),"",VLOOKUP($A357,'Plano de Contas'!#REF!,8,FALSE))</f>
        <v/>
      </c>
      <c r="P357" s="6" t="str">
        <f>IF(ISERROR(VLOOKUP($A357,'Plano de Contas'!#REF!,10,FALSE)),"",VLOOKUP($A357,'Plano de Contas'!#REF!,10,FALSE))</f>
        <v/>
      </c>
      <c r="R357" s="6" t="e">
        <f>VLOOKUP(A357,'Plano de Contas'!#REF!,12,FALSE)</f>
        <v>#REF!</v>
      </c>
      <c r="T357" s="6" t="e">
        <f>VLOOKUP(A357,'Plano de Contas'!#REF!,13,FALSE)</f>
        <v>#REF!</v>
      </c>
    </row>
    <row r="358" spans="1:20" s="5" customFormat="1" x14ac:dyDescent="0.25">
      <c r="A358" t="s">
        <v>1205</v>
      </c>
      <c r="B358">
        <v>1103</v>
      </c>
      <c r="C358" t="s">
        <v>1053</v>
      </c>
      <c r="D358" s="10">
        <v>-23257532.280000001</v>
      </c>
      <c r="E358"/>
      <c r="F358" s="10">
        <v>0</v>
      </c>
      <c r="G358"/>
      <c r="H358" s="10">
        <v>-457500</v>
      </c>
      <c r="I358"/>
      <c r="J358" s="10">
        <v>-23715032.280000001</v>
      </c>
      <c r="K358"/>
      <c r="L358" s="1">
        <f t="shared" si="5"/>
        <v>-23715032.280000001</v>
      </c>
      <c r="N358" s="6" t="str">
        <f>IF(ISERROR(VLOOKUP($A358,'Plano de Contas'!#REF!,8,FALSE)),"",VLOOKUP($A358,'Plano de Contas'!#REF!,8,FALSE))</f>
        <v/>
      </c>
      <c r="P358" s="6" t="str">
        <f>IF(ISERROR(VLOOKUP($A358,'Plano de Contas'!#REF!,10,FALSE)),"",VLOOKUP($A358,'Plano de Contas'!#REF!,10,FALSE))</f>
        <v/>
      </c>
      <c r="R358" s="6" t="e">
        <f>VLOOKUP(A358,'Plano de Contas'!#REF!,12,FALSE)</f>
        <v>#REF!</v>
      </c>
      <c r="T358" s="6" t="e">
        <f>VLOOKUP(A358,'Plano de Contas'!#REF!,13,FALSE)</f>
        <v>#REF!</v>
      </c>
    </row>
    <row r="359" spans="1:20" s="5" customFormat="1" x14ac:dyDescent="0.25">
      <c r="A359"/>
      <c r="B359"/>
      <c r="C359"/>
      <c r="D359" s="10"/>
      <c r="E359"/>
      <c r="F359" s="10"/>
      <c r="G359"/>
      <c r="H359" s="10"/>
      <c r="I359"/>
      <c r="J359" s="10"/>
      <c r="K359"/>
      <c r="L359" s="1">
        <f t="shared" si="5"/>
        <v>0</v>
      </c>
      <c r="N359" s="6" t="str">
        <f>IF(ISERROR(VLOOKUP($A359,'Plano de Contas'!#REF!,8,FALSE)),"",VLOOKUP($A359,'Plano de Contas'!#REF!,8,FALSE))</f>
        <v/>
      </c>
      <c r="P359" s="6" t="str">
        <f>IF(ISERROR(VLOOKUP($A359,'Plano de Contas'!#REF!,10,FALSE)),"",VLOOKUP($A359,'Plano de Contas'!#REF!,10,FALSE))</f>
        <v/>
      </c>
      <c r="R359" s="6" t="e">
        <f>VLOOKUP(A359,'Plano de Contas'!#REF!,12,FALSE)</f>
        <v>#REF!</v>
      </c>
      <c r="T359" s="6" t="e">
        <f>VLOOKUP(A359,'Plano de Contas'!#REF!,13,FALSE)</f>
        <v>#REF!</v>
      </c>
    </row>
    <row r="360" spans="1:20" s="5" customFormat="1" x14ac:dyDescent="0.25">
      <c r="A360" t="s">
        <v>672</v>
      </c>
      <c r="B360">
        <v>177</v>
      </c>
      <c r="C360" t="s">
        <v>673</v>
      </c>
      <c r="D360" s="10">
        <v>36684.57</v>
      </c>
      <c r="E360" t="s">
        <v>35</v>
      </c>
      <c r="F360" s="10">
        <v>0</v>
      </c>
      <c r="G360"/>
      <c r="H360">
        <v>0</v>
      </c>
      <c r="I360"/>
      <c r="J360" s="10">
        <v>36684.57</v>
      </c>
      <c r="K360" t="s">
        <v>35</v>
      </c>
      <c r="L360" s="1">
        <f t="shared" si="5"/>
        <v>-36684.57</v>
      </c>
      <c r="N360" s="6" t="str">
        <f>IF(ISERROR(VLOOKUP($A360,'Plano de Contas'!#REF!,8,FALSE)),"",VLOOKUP($A360,'Plano de Contas'!#REF!,8,FALSE))</f>
        <v/>
      </c>
      <c r="P360" s="6" t="str">
        <f>IF(ISERROR(VLOOKUP($A360,'Plano de Contas'!#REF!,10,FALSE)),"",VLOOKUP($A360,'Plano de Contas'!#REF!,10,FALSE))</f>
        <v/>
      </c>
      <c r="R360" s="6" t="e">
        <f>VLOOKUP(A360,'Plano de Contas'!#REF!,12,FALSE)</f>
        <v>#REF!</v>
      </c>
      <c r="T360" s="6" t="e">
        <f>VLOOKUP(A360,'Plano de Contas'!#REF!,13,FALSE)</f>
        <v>#REF!</v>
      </c>
    </row>
    <row r="361" spans="1:20" s="5" customFormat="1" x14ac:dyDescent="0.25">
      <c r="A361" t="s">
        <v>674</v>
      </c>
      <c r="B361">
        <v>178</v>
      </c>
      <c r="C361" t="s">
        <v>675</v>
      </c>
      <c r="D361" s="10">
        <v>18298.990000000002</v>
      </c>
      <c r="E361" t="s">
        <v>35</v>
      </c>
      <c r="F361" s="10">
        <v>0</v>
      </c>
      <c r="G361"/>
      <c r="H361" s="10">
        <v>0</v>
      </c>
      <c r="I361"/>
      <c r="J361" s="10">
        <v>18298.990000000002</v>
      </c>
      <c r="K361" t="s">
        <v>35</v>
      </c>
      <c r="L361" s="1">
        <f t="shared" si="5"/>
        <v>-18298.990000000002</v>
      </c>
      <c r="N361" s="6" t="str">
        <f>IF(ISERROR(VLOOKUP($A361,'Plano de Contas'!#REF!,8,FALSE)),"",VLOOKUP($A361,'Plano de Contas'!#REF!,8,FALSE))</f>
        <v/>
      </c>
      <c r="P361" s="6" t="str">
        <f>IF(ISERROR(VLOOKUP($A361,'Plano de Contas'!#REF!,10,FALSE)),"",VLOOKUP($A361,'Plano de Contas'!#REF!,10,FALSE))</f>
        <v/>
      </c>
      <c r="R361" s="6" t="e">
        <f>VLOOKUP(A361,'Plano de Contas'!#REF!,12,FALSE)</f>
        <v>#REF!</v>
      </c>
      <c r="T361" s="6" t="e">
        <f>VLOOKUP(A361,'Plano de Contas'!#REF!,13,FALSE)</f>
        <v>#REF!</v>
      </c>
    </row>
    <row r="362" spans="1:20" s="5" customFormat="1" x14ac:dyDescent="0.25">
      <c r="A362" t="s">
        <v>676</v>
      </c>
      <c r="B362">
        <v>179</v>
      </c>
      <c r="C362" t="s">
        <v>677</v>
      </c>
      <c r="D362" s="10">
        <v>18385.580000000002</v>
      </c>
      <c r="E362" t="s">
        <v>35</v>
      </c>
      <c r="F362" s="10">
        <v>0</v>
      </c>
      <c r="G362"/>
      <c r="H362" s="10">
        <v>0</v>
      </c>
      <c r="I362"/>
      <c r="J362" s="10">
        <v>18385.580000000002</v>
      </c>
      <c r="K362" t="s">
        <v>35</v>
      </c>
      <c r="L362" s="1">
        <f t="shared" si="5"/>
        <v>-18385.580000000002</v>
      </c>
      <c r="N362" s="6" t="str">
        <f>IF(ISERROR(VLOOKUP($A362,'Plano de Contas'!#REF!,8,FALSE)),"",VLOOKUP($A362,'Plano de Contas'!#REF!,8,FALSE))</f>
        <v/>
      </c>
      <c r="P362" s="6" t="str">
        <f>IF(ISERROR(VLOOKUP($A362,'Plano de Contas'!#REF!,10,FALSE)),"",VLOOKUP($A362,'Plano de Contas'!#REF!,10,FALSE))</f>
        <v/>
      </c>
      <c r="R362" s="6" t="e">
        <f>VLOOKUP(A362,'Plano de Contas'!#REF!,12,FALSE)</f>
        <v>#REF!</v>
      </c>
      <c r="T362" s="6" t="e">
        <f>VLOOKUP(A362,'Plano de Contas'!#REF!,13,FALSE)</f>
        <v>#REF!</v>
      </c>
    </row>
    <row r="363" spans="1:20" s="5" customFormat="1" x14ac:dyDescent="0.25">
      <c r="A363"/>
      <c r="B363"/>
      <c r="C363"/>
      <c r="D363" s="10"/>
      <c r="E363"/>
      <c r="F363"/>
      <c r="G363"/>
      <c r="H363"/>
      <c r="I363"/>
      <c r="J363" s="10"/>
      <c r="K363"/>
      <c r="L363" s="1">
        <f t="shared" si="5"/>
        <v>0</v>
      </c>
      <c r="N363" s="6" t="str">
        <f>IF(ISERROR(VLOOKUP($A363,'Plano de Contas'!#REF!,8,FALSE)),"",VLOOKUP($A363,'Plano de Contas'!#REF!,8,FALSE))</f>
        <v/>
      </c>
      <c r="P363" s="6" t="str">
        <f>IF(ISERROR(VLOOKUP($A363,'Plano de Contas'!#REF!,10,FALSE)),"",VLOOKUP($A363,'Plano de Contas'!#REF!,10,FALSE))</f>
        <v/>
      </c>
      <c r="R363" s="6" t="e">
        <f>VLOOKUP(A363,'Plano de Contas'!#REF!,12,FALSE)</f>
        <v>#REF!</v>
      </c>
      <c r="T363" s="6" t="e">
        <f>VLOOKUP(A363,'Plano de Contas'!#REF!,13,FALSE)</f>
        <v>#REF!</v>
      </c>
    </row>
    <row r="364" spans="1:20" s="5" customFormat="1" x14ac:dyDescent="0.25">
      <c r="A364" t="s">
        <v>1054</v>
      </c>
      <c r="B364">
        <v>1027</v>
      </c>
      <c r="C364" t="s">
        <v>1055</v>
      </c>
      <c r="D364" s="10">
        <v>2164042923.73</v>
      </c>
      <c r="E364" t="s">
        <v>35</v>
      </c>
      <c r="F364" s="10">
        <v>736300707.39999998</v>
      </c>
      <c r="G364"/>
      <c r="H364">
        <v>0</v>
      </c>
      <c r="I364"/>
      <c r="J364" s="10">
        <v>1427742216.3299999</v>
      </c>
      <c r="K364" t="s">
        <v>35</v>
      </c>
      <c r="L364" s="1">
        <f t="shared" si="5"/>
        <v>-1427742216.3299999</v>
      </c>
      <c r="N364" s="6" t="str">
        <f>IF(ISERROR(VLOOKUP($A364,'Plano de Contas'!#REF!,8,FALSE)),"",VLOOKUP($A364,'Plano de Contas'!#REF!,8,FALSE))</f>
        <v/>
      </c>
      <c r="P364" s="6" t="str">
        <f>IF(ISERROR(VLOOKUP($A364,'Plano de Contas'!#REF!,10,FALSE)),"",VLOOKUP($A364,'Plano de Contas'!#REF!,10,FALSE))</f>
        <v/>
      </c>
      <c r="R364" s="6" t="e">
        <f>VLOOKUP(A364,'Plano de Contas'!#REF!,12,FALSE)</f>
        <v>#REF!</v>
      </c>
      <c r="T364" s="6" t="e">
        <f>VLOOKUP(A364,'Plano de Contas'!#REF!,13,FALSE)</f>
        <v>#REF!</v>
      </c>
    </row>
    <row r="365" spans="1:20" s="5" customFormat="1" x14ac:dyDescent="0.25">
      <c r="A365" t="s">
        <v>1056</v>
      </c>
      <c r="B365">
        <v>1028</v>
      </c>
      <c r="C365" t="s">
        <v>1206</v>
      </c>
      <c r="D365" s="10" t="s">
        <v>1207</v>
      </c>
      <c r="E365"/>
      <c r="F365">
        <v>0</v>
      </c>
      <c r="G365"/>
      <c r="H365">
        <v>0</v>
      </c>
      <c r="I365">
        <v>2</v>
      </c>
      <c r="J365" s="10">
        <v>-2172811479.2399998</v>
      </c>
      <c r="K365"/>
      <c r="L365" s="1">
        <f t="shared" si="5"/>
        <v>-2172811479.2399998</v>
      </c>
      <c r="N365" s="6" t="str">
        <f>IF(ISERROR(VLOOKUP($A365,'Plano de Contas'!#REF!,8,FALSE)),"",VLOOKUP($A365,'Plano de Contas'!#REF!,8,FALSE))</f>
        <v/>
      </c>
      <c r="P365" s="6" t="str">
        <f>IF(ISERROR(VLOOKUP($A365,'Plano de Contas'!#REF!,10,FALSE)),"",VLOOKUP($A365,'Plano de Contas'!#REF!,10,FALSE))</f>
        <v/>
      </c>
      <c r="R365" s="6" t="e">
        <f>VLOOKUP(A365,'Plano de Contas'!#REF!,12,FALSE)</f>
        <v>#REF!</v>
      </c>
      <c r="T365" s="6" t="e">
        <f>VLOOKUP(A365,'Plano de Contas'!#REF!,13,FALSE)</f>
        <v>#REF!</v>
      </c>
    </row>
    <row r="366" spans="1:20" s="5" customFormat="1" x14ac:dyDescent="0.25">
      <c r="A366" t="s">
        <v>1208</v>
      </c>
      <c r="B366">
        <v>1081</v>
      </c>
      <c r="C366" t="s">
        <v>1209</v>
      </c>
      <c r="D366" s="10">
        <v>8768555.5099999998</v>
      </c>
      <c r="E366"/>
      <c r="F366" s="10">
        <v>797141.41</v>
      </c>
      <c r="G366"/>
      <c r="H366" s="10">
        <v>0</v>
      </c>
      <c r="I366"/>
      <c r="J366" s="10">
        <v>9565696.9199999999</v>
      </c>
      <c r="K366"/>
      <c r="L366" s="1">
        <f t="shared" si="5"/>
        <v>9565696.9199999999</v>
      </c>
      <c r="N366" s="6" t="str">
        <f>IF(ISERROR(VLOOKUP($A366,'Plano de Contas'!#REF!,8,FALSE)),"",VLOOKUP($A366,'Plano de Contas'!#REF!,8,FALSE))</f>
        <v/>
      </c>
      <c r="P366" s="6" t="str">
        <f>IF(ISERROR(VLOOKUP($A366,'Plano de Contas'!#REF!,10,FALSE)),"",VLOOKUP($A366,'Plano de Contas'!#REF!,10,FALSE))</f>
        <v/>
      </c>
      <c r="R366" s="6" t="e">
        <f>VLOOKUP(A366,'Plano de Contas'!#REF!,12,FALSE)</f>
        <v>#REF!</v>
      </c>
      <c r="T366" s="6" t="e">
        <f>VLOOKUP(A366,'Plano de Contas'!#REF!,13,FALSE)</f>
        <v>#REF!</v>
      </c>
    </row>
    <row r="367" spans="1:20" s="5" customFormat="1" x14ac:dyDescent="0.25">
      <c r="A367" t="s">
        <v>1210</v>
      </c>
      <c r="B367">
        <v>1092</v>
      </c>
      <c r="C367" t="s">
        <v>1211</v>
      </c>
      <c r="D367" s="10">
        <v>0</v>
      </c>
      <c r="E367"/>
      <c r="F367" s="10">
        <v>540811445.58000004</v>
      </c>
      <c r="G367"/>
      <c r="H367" s="10">
        <v>0</v>
      </c>
      <c r="I367"/>
      <c r="J367" s="10">
        <v>540811445.58000004</v>
      </c>
      <c r="K367"/>
      <c r="L367" s="1">
        <f t="shared" si="5"/>
        <v>540811445.58000004</v>
      </c>
      <c r="N367" s="6" t="str">
        <f>IF(ISERROR(VLOOKUP($A367,'Plano de Contas'!#REF!,8,FALSE)),"",VLOOKUP($A367,'Plano de Contas'!#REF!,8,FALSE))</f>
        <v/>
      </c>
      <c r="P367" s="6" t="str">
        <f>IF(ISERROR(VLOOKUP($A367,'Plano de Contas'!#REF!,10,FALSE)),"",VLOOKUP($A367,'Plano de Contas'!#REF!,10,FALSE))</f>
        <v/>
      </c>
      <c r="R367" s="6" t="e">
        <f>VLOOKUP(A367,'Plano de Contas'!#REF!,12,FALSE)</f>
        <v>#REF!</v>
      </c>
      <c r="T367" s="6" t="e">
        <f>VLOOKUP(A367,'Plano de Contas'!#REF!,13,FALSE)</f>
        <v>#REF!</v>
      </c>
    </row>
    <row r="368" spans="1:20" s="5" customFormat="1" x14ac:dyDescent="0.25">
      <c r="A368" t="s">
        <v>1212</v>
      </c>
      <c r="B368">
        <v>1093</v>
      </c>
      <c r="C368" t="s">
        <v>1213</v>
      </c>
      <c r="D368" s="10">
        <v>0</v>
      </c>
      <c r="E368"/>
      <c r="F368" s="10">
        <v>194692120.41</v>
      </c>
      <c r="G368"/>
      <c r="H368">
        <v>0</v>
      </c>
      <c r="I368"/>
      <c r="J368" s="10">
        <v>194692120.41</v>
      </c>
      <c r="K368"/>
      <c r="L368" s="1">
        <f t="shared" si="5"/>
        <v>194692120.41</v>
      </c>
      <c r="N368" s="6" t="str">
        <f>IF(ISERROR(VLOOKUP($A368,'Plano de Contas'!#REF!,8,FALSE)),"",VLOOKUP($A368,'Plano de Contas'!#REF!,8,FALSE))</f>
        <v/>
      </c>
      <c r="P368" s="6" t="str">
        <f>IF(ISERROR(VLOOKUP($A368,'Plano de Contas'!#REF!,10,FALSE)),"",VLOOKUP($A368,'Plano de Contas'!#REF!,10,FALSE))</f>
        <v/>
      </c>
      <c r="R368" s="6" t="e">
        <f>VLOOKUP(A368,'Plano de Contas'!#REF!,12,FALSE)</f>
        <v>#REF!</v>
      </c>
      <c r="T368" s="6" t="e">
        <f>VLOOKUP(A368,'Plano de Contas'!#REF!,13,FALSE)</f>
        <v>#REF!</v>
      </c>
    </row>
    <row r="369" spans="1:20" s="5" customFormat="1" x14ac:dyDescent="0.25">
      <c r="A369"/>
      <c r="B369"/>
      <c r="C369"/>
      <c r="D369" s="10"/>
      <c r="E369"/>
      <c r="F369" s="10"/>
      <c r="G369"/>
      <c r="H369" s="10"/>
      <c r="I369"/>
      <c r="J369" s="10"/>
      <c r="K369"/>
      <c r="L369" s="1">
        <f t="shared" si="5"/>
        <v>0</v>
      </c>
      <c r="N369" s="6" t="str">
        <f>IF(ISERROR(VLOOKUP($A369,'Plano de Contas'!#REF!,8,FALSE)),"",VLOOKUP($A369,'Plano de Contas'!#REF!,8,FALSE))</f>
        <v/>
      </c>
      <c r="P369" s="6" t="str">
        <f>IF(ISERROR(VLOOKUP($A369,'Plano de Contas'!#REF!,10,FALSE)),"",VLOOKUP($A369,'Plano de Contas'!#REF!,10,FALSE))</f>
        <v/>
      </c>
      <c r="R369" s="6" t="e">
        <f>VLOOKUP(A369,'Plano de Contas'!#REF!,12,FALSE)</f>
        <v>#REF!</v>
      </c>
      <c r="T369" s="6" t="e">
        <f>VLOOKUP(A369,'Plano de Contas'!#REF!,13,FALSE)</f>
        <v>#REF!</v>
      </c>
    </row>
    <row r="370" spans="1:20" s="5" customFormat="1" x14ac:dyDescent="0.25">
      <c r="A370" t="s">
        <v>678</v>
      </c>
      <c r="B370">
        <v>180</v>
      </c>
      <c r="C370" t="s">
        <v>679</v>
      </c>
      <c r="D370" s="10">
        <v>40891293.869999997</v>
      </c>
      <c r="E370" t="s">
        <v>35</v>
      </c>
      <c r="F370" s="10">
        <v>0</v>
      </c>
      <c r="G370"/>
      <c r="H370">
        <v>0</v>
      </c>
      <c r="I370"/>
      <c r="J370" s="10">
        <v>40891293.869999997</v>
      </c>
      <c r="K370" t="s">
        <v>35</v>
      </c>
      <c r="L370" s="1">
        <f t="shared" si="5"/>
        <v>-40891293.869999997</v>
      </c>
      <c r="N370" s="6" t="str">
        <f>IF(ISERROR(VLOOKUP($A370,'Plano de Contas'!#REF!,8,FALSE)),"",VLOOKUP($A370,'Plano de Contas'!#REF!,8,FALSE))</f>
        <v/>
      </c>
      <c r="P370" s="6" t="str">
        <f>IF(ISERROR(VLOOKUP($A370,'Plano de Contas'!#REF!,10,FALSE)),"",VLOOKUP($A370,'Plano de Contas'!#REF!,10,FALSE))</f>
        <v/>
      </c>
      <c r="R370" s="6" t="e">
        <f>VLOOKUP(A370,'Plano de Contas'!#REF!,12,FALSE)</f>
        <v>#REF!</v>
      </c>
      <c r="T370" s="6" t="e">
        <f>VLOOKUP(A370,'Plano de Contas'!#REF!,13,FALSE)</f>
        <v>#REF!</v>
      </c>
    </row>
    <row r="371" spans="1:20" s="5" customFormat="1" x14ac:dyDescent="0.25">
      <c r="A371"/>
      <c r="B371"/>
      <c r="C371"/>
      <c r="D371" s="10"/>
      <c r="E371"/>
      <c r="F371" s="10"/>
      <c r="G371"/>
      <c r="H371" s="10"/>
      <c r="I371"/>
      <c r="J371" s="10"/>
      <c r="K371"/>
      <c r="L371" s="1">
        <f t="shared" si="5"/>
        <v>0</v>
      </c>
      <c r="N371" s="6" t="str">
        <f>IF(ISERROR(VLOOKUP($A371,'Plano de Contas'!#REF!,8,FALSE)),"",VLOOKUP($A371,'Plano de Contas'!#REF!,8,FALSE))</f>
        <v/>
      </c>
      <c r="P371" s="6" t="str">
        <f>IF(ISERROR(VLOOKUP($A371,'Plano de Contas'!#REF!,10,FALSE)),"",VLOOKUP($A371,'Plano de Contas'!#REF!,10,FALSE))</f>
        <v/>
      </c>
      <c r="R371" s="6" t="e">
        <f>VLOOKUP(A371,'Plano de Contas'!#REF!,12,FALSE)</f>
        <v>#REF!</v>
      </c>
      <c r="T371" s="6" t="e">
        <f>VLOOKUP(A371,'Plano de Contas'!#REF!,13,FALSE)</f>
        <v>#REF!</v>
      </c>
    </row>
    <row r="372" spans="1:20" s="5" customFormat="1" x14ac:dyDescent="0.25">
      <c r="A372" t="s">
        <v>684</v>
      </c>
      <c r="B372">
        <v>574</v>
      </c>
      <c r="C372" t="s">
        <v>685</v>
      </c>
      <c r="D372" s="10">
        <v>40891293.869999997</v>
      </c>
      <c r="E372" t="s">
        <v>35</v>
      </c>
      <c r="F372">
        <v>0</v>
      </c>
      <c r="G372"/>
      <c r="H372">
        <v>0</v>
      </c>
      <c r="I372"/>
      <c r="J372" s="10">
        <v>40891293.869999997</v>
      </c>
      <c r="K372" t="s">
        <v>35</v>
      </c>
      <c r="L372" s="1">
        <f t="shared" si="5"/>
        <v>-40891293.869999997</v>
      </c>
      <c r="N372" s="6" t="str">
        <f>IF(ISERROR(VLOOKUP($A372,'Plano de Contas'!#REF!,8,FALSE)),"",VLOOKUP($A372,'Plano de Contas'!#REF!,8,FALSE))</f>
        <v/>
      </c>
      <c r="P372" s="6" t="str">
        <f>IF(ISERROR(VLOOKUP($A372,'Plano de Contas'!#REF!,10,FALSE)),"",VLOOKUP($A372,'Plano de Contas'!#REF!,10,FALSE))</f>
        <v/>
      </c>
      <c r="R372" s="6" t="e">
        <f>VLOOKUP(A372,'Plano de Contas'!#REF!,12,FALSE)</f>
        <v>#REF!</v>
      </c>
      <c r="T372" s="6" t="e">
        <f>VLOOKUP(A372,'Plano de Contas'!#REF!,13,FALSE)</f>
        <v>#REF!</v>
      </c>
    </row>
    <row r="373" spans="1:20" s="5" customFormat="1" x14ac:dyDescent="0.25">
      <c r="A373" t="s">
        <v>686</v>
      </c>
      <c r="B373">
        <v>575</v>
      </c>
      <c r="C373" t="s">
        <v>687</v>
      </c>
      <c r="D373" s="10">
        <v>40891293.869999997</v>
      </c>
      <c r="E373" t="s">
        <v>35</v>
      </c>
      <c r="F373">
        <v>0</v>
      </c>
      <c r="G373"/>
      <c r="H373">
        <v>0</v>
      </c>
      <c r="I373"/>
      <c r="J373" s="10">
        <v>40891293.869999997</v>
      </c>
      <c r="K373" t="s">
        <v>35</v>
      </c>
      <c r="L373" s="1">
        <f t="shared" si="5"/>
        <v>-40891293.869999997</v>
      </c>
      <c r="N373" s="6" t="str">
        <f>IF(ISERROR(VLOOKUP($A373,'Plano de Contas'!#REF!,8,FALSE)),"",VLOOKUP($A373,'Plano de Contas'!#REF!,8,FALSE))</f>
        <v/>
      </c>
      <c r="P373" s="6" t="str">
        <f>IF(ISERROR(VLOOKUP($A373,'Plano de Contas'!#REF!,10,FALSE)),"",VLOOKUP($A373,'Plano de Contas'!#REF!,10,FALSE))</f>
        <v/>
      </c>
      <c r="R373" s="6" t="e">
        <f>VLOOKUP(A373,'Plano de Contas'!#REF!,12,FALSE)</f>
        <v>#REF!</v>
      </c>
      <c r="T373" s="6" t="e">
        <f>VLOOKUP(A373,'Plano de Contas'!#REF!,13,FALSE)</f>
        <v>#REF!</v>
      </c>
    </row>
    <row r="374" spans="1:20" s="5" customFormat="1" x14ac:dyDescent="0.25">
      <c r="A374"/>
      <c r="B374"/>
      <c r="C374"/>
      <c r="D374" s="10"/>
      <c r="E374"/>
      <c r="F374"/>
      <c r="G374"/>
      <c r="H374"/>
      <c r="I374"/>
      <c r="J374" s="10"/>
      <c r="K374"/>
      <c r="L374" s="1">
        <f t="shared" si="5"/>
        <v>0</v>
      </c>
      <c r="N374" s="6" t="str">
        <f>IF(ISERROR(VLOOKUP($A374,'Plano de Contas'!#REF!,8,FALSE)),"",VLOOKUP($A374,'Plano de Contas'!#REF!,8,FALSE))</f>
        <v/>
      </c>
      <c r="P374" s="6" t="str">
        <f>IF(ISERROR(VLOOKUP($A374,'Plano de Contas'!#REF!,10,FALSE)),"",VLOOKUP($A374,'Plano de Contas'!#REF!,10,FALSE))</f>
        <v/>
      </c>
      <c r="R374" s="6" t="e">
        <f>VLOOKUP(A374,'Plano de Contas'!#REF!,12,FALSE)</f>
        <v>#REF!</v>
      </c>
      <c r="T374" s="6" t="e">
        <f>VLOOKUP(A374,'Plano de Contas'!#REF!,13,FALSE)</f>
        <v>#REF!</v>
      </c>
    </row>
    <row r="375" spans="1:20" s="5" customFormat="1" x14ac:dyDescent="0.25">
      <c r="A375" t="s">
        <v>1214</v>
      </c>
      <c r="B375">
        <v>1104</v>
      </c>
      <c r="C375" t="s">
        <v>1215</v>
      </c>
      <c r="D375" s="10">
        <v>944482.01</v>
      </c>
      <c r="E375" t="s">
        <v>35</v>
      </c>
      <c r="F375">
        <v>0</v>
      </c>
      <c r="G375"/>
      <c r="H375">
        <v>0</v>
      </c>
      <c r="I375"/>
      <c r="J375" s="10">
        <v>944482.01</v>
      </c>
      <c r="K375" t="s">
        <v>35</v>
      </c>
      <c r="L375" s="1">
        <f t="shared" si="5"/>
        <v>-944482.01</v>
      </c>
      <c r="N375" s="6" t="str">
        <f>IF(ISERROR(VLOOKUP($A375,'Plano de Contas'!#REF!,8,FALSE)),"",VLOOKUP($A375,'Plano de Contas'!#REF!,8,FALSE))</f>
        <v/>
      </c>
      <c r="P375" s="6" t="str">
        <f>IF(ISERROR(VLOOKUP($A375,'Plano de Contas'!#REF!,10,FALSE)),"",VLOOKUP($A375,'Plano de Contas'!#REF!,10,FALSE))</f>
        <v/>
      </c>
      <c r="R375" s="6" t="e">
        <f>VLOOKUP(A375,'Plano de Contas'!#REF!,12,FALSE)</f>
        <v>#REF!</v>
      </c>
      <c r="T375" s="6" t="e">
        <f>VLOOKUP(A375,'Plano de Contas'!#REF!,13,FALSE)</f>
        <v>#REF!</v>
      </c>
    </row>
    <row r="376" spans="1:20" s="5" customFormat="1" x14ac:dyDescent="0.25">
      <c r="A376"/>
      <c r="B376"/>
      <c r="C376"/>
      <c r="D376" s="10"/>
      <c r="E376"/>
      <c r="F376" s="10"/>
      <c r="G376"/>
      <c r="H376" s="10"/>
      <c r="I376"/>
      <c r="J376" s="10"/>
      <c r="K376"/>
      <c r="L376" s="1">
        <f t="shared" si="5"/>
        <v>0</v>
      </c>
      <c r="N376" s="6" t="str">
        <f>IF(ISERROR(VLOOKUP($A376,'Plano de Contas'!#REF!,8,FALSE)),"",VLOOKUP($A376,'Plano de Contas'!#REF!,8,FALSE))</f>
        <v/>
      </c>
      <c r="P376" s="6" t="str">
        <f>IF(ISERROR(VLOOKUP($A376,'Plano de Contas'!#REF!,10,FALSE)),"",VLOOKUP($A376,'Plano de Contas'!#REF!,10,FALSE))</f>
        <v/>
      </c>
      <c r="R376" s="6" t="e">
        <f>VLOOKUP(A376,'Plano de Contas'!#REF!,12,FALSE)</f>
        <v>#REF!</v>
      </c>
      <c r="T376" s="6" t="e">
        <f>VLOOKUP(A376,'Plano de Contas'!#REF!,13,FALSE)</f>
        <v>#REF!</v>
      </c>
    </row>
    <row r="377" spans="1:20" s="5" customFormat="1" x14ac:dyDescent="0.25">
      <c r="A377" t="s">
        <v>1216</v>
      </c>
      <c r="B377">
        <v>1105</v>
      </c>
      <c r="C377" t="s">
        <v>1215</v>
      </c>
      <c r="D377" s="10">
        <v>944482.01</v>
      </c>
      <c r="E377" t="s">
        <v>35</v>
      </c>
      <c r="F377" s="10">
        <v>0</v>
      </c>
      <c r="G377"/>
      <c r="H377" s="10">
        <v>0</v>
      </c>
      <c r="I377"/>
      <c r="J377" s="10">
        <v>944482.01</v>
      </c>
      <c r="K377" t="s">
        <v>35</v>
      </c>
      <c r="L377" s="1">
        <f t="shared" si="5"/>
        <v>-944482.01</v>
      </c>
      <c r="N377" s="6" t="str">
        <f>IF(ISERROR(VLOOKUP($A377,'Plano de Contas'!#REF!,8,FALSE)),"",VLOOKUP($A377,'Plano de Contas'!#REF!,8,FALSE))</f>
        <v/>
      </c>
      <c r="P377" s="6" t="str">
        <f>IF(ISERROR(VLOOKUP($A377,'Plano de Contas'!#REF!,10,FALSE)),"",VLOOKUP($A377,'Plano de Contas'!#REF!,10,FALSE))</f>
        <v/>
      </c>
      <c r="R377" s="6" t="e">
        <f>VLOOKUP(A377,'Plano de Contas'!#REF!,12,FALSE)</f>
        <v>#REF!</v>
      </c>
      <c r="T377" s="6" t="e">
        <f>VLOOKUP(A377,'Plano de Contas'!#REF!,13,FALSE)</f>
        <v>#REF!</v>
      </c>
    </row>
    <row r="378" spans="1:20" s="5" customFormat="1" x14ac:dyDescent="0.25">
      <c r="A378" t="s">
        <v>1217</v>
      </c>
      <c r="B378">
        <v>1106</v>
      </c>
      <c r="C378" t="s">
        <v>1218</v>
      </c>
      <c r="D378" s="10">
        <v>944482.01</v>
      </c>
      <c r="E378" t="s">
        <v>35</v>
      </c>
      <c r="F378" s="10">
        <v>0</v>
      </c>
      <c r="G378"/>
      <c r="H378" s="10">
        <v>0</v>
      </c>
      <c r="I378"/>
      <c r="J378" s="10">
        <v>944482.01</v>
      </c>
      <c r="K378" t="s">
        <v>35</v>
      </c>
      <c r="L378" s="1">
        <f t="shared" si="5"/>
        <v>-944482.01</v>
      </c>
      <c r="N378" s="6" t="s">
        <v>1219</v>
      </c>
      <c r="P378" s="6" t="str">
        <f>IF(ISERROR(VLOOKUP($A378,'Plano de Contas'!#REF!,10,FALSE)),"",VLOOKUP($A378,'Plano de Contas'!#REF!,10,FALSE))</f>
        <v/>
      </c>
      <c r="R378" s="6" t="e">
        <f>VLOOKUP(A378,'Plano de Contas'!#REF!,12,FALSE)</f>
        <v>#REF!</v>
      </c>
      <c r="T378" s="6" t="e">
        <f>VLOOKUP(A378,'Plano de Contas'!#REF!,13,FALSE)</f>
        <v>#REF!</v>
      </c>
    </row>
    <row r="379" spans="1:20" s="5" customFormat="1" x14ac:dyDescent="0.25">
      <c r="A379"/>
      <c r="B379"/>
      <c r="C379"/>
      <c r="D379" s="10"/>
      <c r="E379"/>
      <c r="F379" s="10"/>
      <c r="G379"/>
      <c r="H379" s="10"/>
      <c r="I379"/>
      <c r="J379" s="10"/>
      <c r="K379"/>
      <c r="L379" s="1">
        <f t="shared" si="5"/>
        <v>0</v>
      </c>
      <c r="N379" s="6" t="str">
        <f>IF(ISERROR(VLOOKUP($A379,'Plano de Contas'!#REF!,8,FALSE)),"",VLOOKUP($A379,'Plano de Contas'!#REF!,8,FALSE))</f>
        <v/>
      </c>
      <c r="P379" s="6" t="str">
        <f>IF(ISERROR(VLOOKUP($A379,'Plano de Contas'!#REF!,10,FALSE)),"",VLOOKUP($A379,'Plano de Contas'!#REF!,10,FALSE))</f>
        <v/>
      </c>
      <c r="R379" s="6" t="e">
        <f>VLOOKUP(A379,'Plano de Contas'!#REF!,12,FALSE)</f>
        <v>#REF!</v>
      </c>
      <c r="T379" s="6" t="e">
        <f>VLOOKUP(A379,'Plano de Contas'!#REF!,13,FALSE)</f>
        <v>#REF!</v>
      </c>
    </row>
    <row r="380" spans="1:20" s="5" customFormat="1" x14ac:dyDescent="0.25">
      <c r="A380" t="s">
        <v>688</v>
      </c>
      <c r="B380">
        <v>184</v>
      </c>
      <c r="C380" t="s">
        <v>689</v>
      </c>
      <c r="D380" s="10">
        <v>339641.41</v>
      </c>
      <c r="E380"/>
      <c r="F380" s="10">
        <v>117122624.18000001</v>
      </c>
      <c r="G380"/>
      <c r="H380" s="10">
        <v>114209928.64</v>
      </c>
      <c r="I380" t="s">
        <v>35</v>
      </c>
      <c r="J380" s="10">
        <v>3252336.95</v>
      </c>
      <c r="K380"/>
      <c r="L380" s="1">
        <f t="shared" si="5"/>
        <v>3252336.95</v>
      </c>
      <c r="N380" s="6" t="str">
        <f>IF(ISERROR(VLOOKUP($A380,'Plano de Contas'!#REF!,8,FALSE)),"",VLOOKUP($A380,'Plano de Contas'!#REF!,8,FALSE))</f>
        <v/>
      </c>
      <c r="P380" s="6" t="str">
        <f>IF(ISERROR(VLOOKUP($A380,'Plano de Contas'!#REF!,10,FALSE)),"",VLOOKUP($A380,'Plano de Contas'!#REF!,10,FALSE))</f>
        <v/>
      </c>
      <c r="R380" s="6" t="e">
        <f>VLOOKUP(A380,'Plano de Contas'!#REF!,12,FALSE)</f>
        <v>#REF!</v>
      </c>
      <c r="T380" s="6" t="e">
        <f>VLOOKUP(A380,'Plano de Contas'!#REF!,13,FALSE)</f>
        <v>#REF!</v>
      </c>
    </row>
    <row r="381" spans="1:20" s="5" customFormat="1" x14ac:dyDescent="0.25">
      <c r="A381"/>
      <c r="B381"/>
      <c r="C381"/>
      <c r="D381" s="10"/>
      <c r="E381"/>
      <c r="F381" s="10"/>
      <c r="G381"/>
      <c r="H381" s="10"/>
      <c r="I381"/>
      <c r="J381" s="10"/>
      <c r="K381"/>
      <c r="L381" s="1">
        <f t="shared" si="5"/>
        <v>0</v>
      </c>
      <c r="N381" s="6" t="str">
        <f>IF(ISERROR(VLOOKUP($A381,'Plano de Contas'!#REF!,8,FALSE)),"",VLOOKUP($A381,'Plano de Contas'!#REF!,8,FALSE))</f>
        <v/>
      </c>
      <c r="P381" s="6" t="str">
        <f>IF(ISERROR(VLOOKUP($A381,'Plano de Contas'!#REF!,10,FALSE)),"",VLOOKUP($A381,'Plano de Contas'!#REF!,10,FALSE))</f>
        <v/>
      </c>
      <c r="R381" s="6" t="e">
        <f>VLOOKUP(A381,'Plano de Contas'!#REF!,12,FALSE)</f>
        <v>#REF!</v>
      </c>
      <c r="T381" s="6" t="e">
        <f>VLOOKUP(A381,'Plano de Contas'!#REF!,13,FALSE)</f>
        <v>#REF!</v>
      </c>
    </row>
    <row r="382" spans="1:20" s="5" customFormat="1" x14ac:dyDescent="0.25">
      <c r="A382" t="s">
        <v>690</v>
      </c>
      <c r="B382">
        <v>185</v>
      </c>
      <c r="C382" t="s">
        <v>691</v>
      </c>
      <c r="D382" s="10">
        <v>339641.41</v>
      </c>
      <c r="E382"/>
      <c r="F382" s="10">
        <v>117122624.18000001</v>
      </c>
      <c r="G382"/>
      <c r="H382" s="10">
        <v>114209928.64</v>
      </c>
      <c r="I382" t="s">
        <v>35</v>
      </c>
      <c r="J382" s="10">
        <v>3252336.95</v>
      </c>
      <c r="K382"/>
      <c r="L382" s="1">
        <f t="shared" si="5"/>
        <v>3252336.95</v>
      </c>
      <c r="N382" s="6" t="str">
        <f>IF(ISERROR(VLOOKUP($A382,'Plano de Contas'!#REF!,8,FALSE)),"",VLOOKUP($A382,'Plano de Contas'!#REF!,8,FALSE))</f>
        <v/>
      </c>
      <c r="P382" s="6" t="str">
        <f>IF(ISERROR(VLOOKUP($A382,'Plano de Contas'!#REF!,10,FALSE)),"",VLOOKUP($A382,'Plano de Contas'!#REF!,10,FALSE))</f>
        <v/>
      </c>
      <c r="R382" s="6" t="e">
        <f>VLOOKUP(A382,'Plano de Contas'!#REF!,12,FALSE)</f>
        <v>#REF!</v>
      </c>
      <c r="T382" s="6" t="e">
        <f>VLOOKUP(A382,'Plano de Contas'!#REF!,13,FALSE)</f>
        <v>#REF!</v>
      </c>
    </row>
    <row r="383" spans="1:20" s="5" customFormat="1" x14ac:dyDescent="0.25">
      <c r="A383" t="s">
        <v>692</v>
      </c>
      <c r="B383">
        <v>186</v>
      </c>
      <c r="C383" t="s">
        <v>693</v>
      </c>
      <c r="D383" s="10">
        <v>26954984.98</v>
      </c>
      <c r="E383"/>
      <c r="F383">
        <v>0</v>
      </c>
      <c r="G383"/>
      <c r="H383" s="10">
        <v>-26954984.98</v>
      </c>
      <c r="I383"/>
      <c r="J383" s="10">
        <v>0</v>
      </c>
      <c r="K383"/>
      <c r="L383" s="1">
        <f t="shared" si="5"/>
        <v>0</v>
      </c>
      <c r="N383" s="6" t="str">
        <f>IF(ISERROR(VLOOKUP($A383,'Plano de Contas'!#REF!,8,FALSE)),"",VLOOKUP($A383,'Plano de Contas'!#REF!,8,FALSE))</f>
        <v/>
      </c>
      <c r="P383" s="6" t="str">
        <f>IF(ISERROR(VLOOKUP($A383,'Plano de Contas'!#REF!,10,FALSE)),"",VLOOKUP($A383,'Plano de Contas'!#REF!,10,FALSE))</f>
        <v/>
      </c>
      <c r="R383" s="6" t="e">
        <f>VLOOKUP(A383,'Plano de Contas'!#REF!,12,FALSE)</f>
        <v>#REF!</v>
      </c>
      <c r="T383" s="6" t="e">
        <f>VLOOKUP(A383,'Plano de Contas'!#REF!,13,FALSE)</f>
        <v>#REF!</v>
      </c>
    </row>
    <row r="384" spans="1:20" s="5" customFormat="1" x14ac:dyDescent="0.25">
      <c r="A384" t="s">
        <v>694</v>
      </c>
      <c r="B384">
        <v>187</v>
      </c>
      <c r="C384" t="s">
        <v>695</v>
      </c>
      <c r="D384" s="10">
        <v>8675838.0299999993</v>
      </c>
      <c r="E384"/>
      <c r="F384" s="10">
        <v>0</v>
      </c>
      <c r="G384"/>
      <c r="H384" s="10">
        <v>-8675838.0299999993</v>
      </c>
      <c r="I384"/>
      <c r="J384" s="10">
        <v>0</v>
      </c>
      <c r="K384"/>
      <c r="L384" s="1">
        <f t="shared" si="5"/>
        <v>0</v>
      </c>
      <c r="N384" s="6" t="str">
        <f>IF(ISERROR(VLOOKUP($A384,'Plano de Contas'!#REF!,8,FALSE)),"",VLOOKUP($A384,'Plano de Contas'!#REF!,8,FALSE))</f>
        <v/>
      </c>
      <c r="P384" s="6" t="str">
        <f>IF(ISERROR(VLOOKUP($A384,'Plano de Contas'!#REF!,10,FALSE)),"",VLOOKUP($A384,'Plano de Contas'!#REF!,10,FALSE))</f>
        <v/>
      </c>
      <c r="R384" s="6" t="e">
        <f>VLOOKUP(A384,'Plano de Contas'!#REF!,12,FALSE)</f>
        <v>#REF!</v>
      </c>
      <c r="T384" s="6" t="e">
        <f>VLOOKUP(A384,'Plano de Contas'!#REF!,13,FALSE)</f>
        <v>#REF!</v>
      </c>
    </row>
    <row r="385" spans="1:20" s="5" customFormat="1" x14ac:dyDescent="0.25">
      <c r="A385" t="s">
        <v>696</v>
      </c>
      <c r="B385">
        <v>188</v>
      </c>
      <c r="C385" t="s">
        <v>697</v>
      </c>
      <c r="D385" s="10">
        <v>2141957.19</v>
      </c>
      <c r="E385"/>
      <c r="F385" s="10">
        <v>0</v>
      </c>
      <c r="G385"/>
      <c r="H385" s="10">
        <v>-2141957.19</v>
      </c>
      <c r="I385"/>
      <c r="J385" s="10">
        <v>0</v>
      </c>
      <c r="K385"/>
      <c r="L385" s="1">
        <f t="shared" si="5"/>
        <v>0</v>
      </c>
      <c r="N385" s="6" t="str">
        <f>IF(ISERROR(VLOOKUP($A385,'Plano de Contas'!#REF!,8,FALSE)),"",VLOOKUP($A385,'Plano de Contas'!#REF!,8,FALSE))</f>
        <v/>
      </c>
      <c r="P385" s="6" t="str">
        <f>IF(ISERROR(VLOOKUP($A385,'Plano de Contas'!#REF!,10,FALSE)),"",VLOOKUP($A385,'Plano de Contas'!#REF!,10,FALSE))</f>
        <v/>
      </c>
      <c r="R385" s="6" t="e">
        <f>VLOOKUP(A385,'Plano de Contas'!#REF!,12,FALSE)</f>
        <v>#REF!</v>
      </c>
      <c r="T385" s="6" t="e">
        <f>VLOOKUP(A385,'Plano de Contas'!#REF!,13,FALSE)</f>
        <v>#REF!</v>
      </c>
    </row>
    <row r="386" spans="1:20" s="5" customFormat="1" x14ac:dyDescent="0.25">
      <c r="A386" t="s">
        <v>698</v>
      </c>
      <c r="B386">
        <v>189</v>
      </c>
      <c r="C386" t="s">
        <v>699</v>
      </c>
      <c r="D386" s="10">
        <v>-124185.7</v>
      </c>
      <c r="E386"/>
      <c r="F386" s="10">
        <v>124185.7</v>
      </c>
      <c r="G386"/>
      <c r="H386">
        <v>0</v>
      </c>
      <c r="I386"/>
      <c r="J386" s="10">
        <v>0</v>
      </c>
      <c r="K386"/>
      <c r="L386" s="1">
        <f t="shared" si="5"/>
        <v>0</v>
      </c>
      <c r="N386" s="6" t="str">
        <f>IF(ISERROR(VLOOKUP($A386,'Plano de Contas'!#REF!,8,FALSE)),"",VLOOKUP($A386,'Plano de Contas'!#REF!,8,FALSE))</f>
        <v/>
      </c>
      <c r="P386" s="6" t="str">
        <f>IF(ISERROR(VLOOKUP($A386,'Plano de Contas'!#REF!,10,FALSE)),"",VLOOKUP($A386,'Plano de Contas'!#REF!,10,FALSE))</f>
        <v/>
      </c>
      <c r="R386" s="6" t="e">
        <f>VLOOKUP(A386,'Plano de Contas'!#REF!,12,FALSE)</f>
        <v>#REF!</v>
      </c>
      <c r="T386" s="6" t="e">
        <f>VLOOKUP(A386,'Plano de Contas'!#REF!,13,FALSE)</f>
        <v>#REF!</v>
      </c>
    </row>
    <row r="387" spans="1:20" s="5" customFormat="1" x14ac:dyDescent="0.25">
      <c r="A387" t="s">
        <v>700</v>
      </c>
      <c r="B387">
        <v>190</v>
      </c>
      <c r="C387" t="s">
        <v>701</v>
      </c>
      <c r="D387" s="10">
        <v>838752.19</v>
      </c>
      <c r="E387"/>
      <c r="F387" s="10">
        <v>0</v>
      </c>
      <c r="G387"/>
      <c r="H387" s="10">
        <v>838752.19</v>
      </c>
      <c r="I387" t="s">
        <v>35</v>
      </c>
      <c r="J387" s="10">
        <v>0</v>
      </c>
      <c r="K387"/>
      <c r="L387" s="1">
        <f t="shared" si="5"/>
        <v>0</v>
      </c>
      <c r="N387" s="6" t="str">
        <f>IF(ISERROR(VLOOKUP($A387,'Plano de Contas'!#REF!,8,FALSE)),"",VLOOKUP($A387,'Plano de Contas'!#REF!,8,FALSE))</f>
        <v/>
      </c>
      <c r="P387" s="6" t="str">
        <f>IF(ISERROR(VLOOKUP($A387,'Plano de Contas'!#REF!,10,FALSE)),"",VLOOKUP($A387,'Plano de Contas'!#REF!,10,FALSE))</f>
        <v/>
      </c>
      <c r="R387" s="6" t="e">
        <f>VLOOKUP(A387,'Plano de Contas'!#REF!,12,FALSE)</f>
        <v>#REF!</v>
      </c>
      <c r="T387" s="6" t="e">
        <f>VLOOKUP(A387,'Plano de Contas'!#REF!,13,FALSE)</f>
        <v>#REF!</v>
      </c>
    </row>
    <row r="388" spans="1:20" s="5" customFormat="1" x14ac:dyDescent="0.25">
      <c r="A388" t="s">
        <v>702</v>
      </c>
      <c r="B388">
        <v>191</v>
      </c>
      <c r="C388" t="s">
        <v>703</v>
      </c>
      <c r="D388" s="10">
        <v>458264.12</v>
      </c>
      <c r="E388" t="s">
        <v>35</v>
      </c>
      <c r="F388" s="10">
        <v>458264.12</v>
      </c>
      <c r="G388"/>
      <c r="H388" s="10">
        <v>0</v>
      </c>
      <c r="I388"/>
      <c r="J388" s="10">
        <v>0</v>
      </c>
      <c r="K388"/>
      <c r="L388" s="1">
        <f t="shared" si="5"/>
        <v>0</v>
      </c>
      <c r="N388" s="6" t="str">
        <f>IF(ISERROR(VLOOKUP($A388,'Plano de Contas'!#REF!,8,FALSE)),"",VLOOKUP($A388,'Plano de Contas'!#REF!,8,FALSE))</f>
        <v/>
      </c>
      <c r="P388" s="6" t="str">
        <f>IF(ISERROR(VLOOKUP($A388,'Plano de Contas'!#REF!,10,FALSE)),"",VLOOKUP($A388,'Plano de Contas'!#REF!,10,FALSE))</f>
        <v/>
      </c>
      <c r="R388" s="6" t="e">
        <f>VLOOKUP(A388,'Plano de Contas'!#REF!,12,FALSE)</f>
        <v>#REF!</v>
      </c>
      <c r="T388" s="6" t="e">
        <f>VLOOKUP(A388,'Plano de Contas'!#REF!,13,FALSE)</f>
        <v>#REF!</v>
      </c>
    </row>
    <row r="389" spans="1:20" s="5" customFormat="1" x14ac:dyDescent="0.25">
      <c r="A389" t="s">
        <v>704</v>
      </c>
      <c r="B389">
        <v>192</v>
      </c>
      <c r="C389" t="s">
        <v>705</v>
      </c>
      <c r="D389" s="10">
        <v>174603.05</v>
      </c>
      <c r="E389" t="s">
        <v>35</v>
      </c>
      <c r="F389" s="10">
        <v>174603.05</v>
      </c>
      <c r="G389"/>
      <c r="H389" s="10">
        <v>0</v>
      </c>
      <c r="I389"/>
      <c r="J389" s="10">
        <v>0</v>
      </c>
      <c r="K389"/>
      <c r="L389" s="1">
        <f t="shared" si="5"/>
        <v>0</v>
      </c>
      <c r="N389" s="6" t="str">
        <f>IF(ISERROR(VLOOKUP($A389,'Plano de Contas'!#REF!,8,FALSE)),"",VLOOKUP($A389,'Plano de Contas'!#REF!,8,FALSE))</f>
        <v/>
      </c>
      <c r="P389" s="6" t="str">
        <f>IF(ISERROR(VLOOKUP($A389,'Plano de Contas'!#REF!,10,FALSE)),"",VLOOKUP($A389,'Plano de Contas'!#REF!,10,FALSE))</f>
        <v/>
      </c>
      <c r="R389" s="6" t="e">
        <f>VLOOKUP(A389,'Plano de Contas'!#REF!,12,FALSE)</f>
        <v>#REF!</v>
      </c>
      <c r="T389" s="6" t="e">
        <f>VLOOKUP(A389,'Plano de Contas'!#REF!,13,FALSE)</f>
        <v>#REF!</v>
      </c>
    </row>
    <row r="390" spans="1:20" s="5" customFormat="1" x14ac:dyDescent="0.25">
      <c r="A390" t="s">
        <v>706</v>
      </c>
      <c r="B390">
        <v>193</v>
      </c>
      <c r="C390" t="s">
        <v>707</v>
      </c>
      <c r="D390" s="10">
        <v>2891094.37</v>
      </c>
      <c r="E390" t="s">
        <v>35</v>
      </c>
      <c r="F390" s="10">
        <v>2891094.37</v>
      </c>
      <c r="G390"/>
      <c r="H390" s="10">
        <v>0</v>
      </c>
      <c r="I390"/>
      <c r="J390" s="10">
        <v>0</v>
      </c>
      <c r="K390"/>
      <c r="L390" s="1">
        <f t="shared" si="5"/>
        <v>0</v>
      </c>
      <c r="N390" s="6" t="str">
        <f>IF(ISERROR(VLOOKUP($A390,'Plano de Contas'!#REF!,8,FALSE)),"",VLOOKUP($A390,'Plano de Contas'!#REF!,8,FALSE))</f>
        <v/>
      </c>
      <c r="P390" s="6" t="str">
        <f>IF(ISERROR(VLOOKUP($A390,'Plano de Contas'!#REF!,10,FALSE)),"",VLOOKUP($A390,'Plano de Contas'!#REF!,10,FALSE))</f>
        <v/>
      </c>
      <c r="R390" s="6" t="e">
        <f>VLOOKUP(A390,'Plano de Contas'!#REF!,12,FALSE)</f>
        <v>#REF!</v>
      </c>
      <c r="T390" s="6" t="e">
        <f>VLOOKUP(A390,'Plano de Contas'!#REF!,13,FALSE)</f>
        <v>#REF!</v>
      </c>
    </row>
    <row r="391" spans="1:20" s="5" customFormat="1" x14ac:dyDescent="0.25">
      <c r="A391" t="s">
        <v>708</v>
      </c>
      <c r="B391">
        <v>194</v>
      </c>
      <c r="C391" t="s">
        <v>709</v>
      </c>
      <c r="D391" s="10">
        <v>2541359.94</v>
      </c>
      <c r="E391" t="s">
        <v>35</v>
      </c>
      <c r="F391" s="10">
        <v>2541359.94</v>
      </c>
      <c r="G391"/>
      <c r="H391" s="10">
        <v>0</v>
      </c>
      <c r="I391"/>
      <c r="J391" s="10">
        <v>0</v>
      </c>
      <c r="K391"/>
      <c r="L391" s="1">
        <f t="shared" si="5"/>
        <v>0</v>
      </c>
      <c r="N391" s="6" t="str">
        <f>IF(ISERROR(VLOOKUP($A391,'Plano de Contas'!#REF!,8,FALSE)),"",VLOOKUP($A391,'Plano de Contas'!#REF!,8,FALSE))</f>
        <v/>
      </c>
      <c r="P391" s="6" t="str">
        <f>IF(ISERROR(VLOOKUP($A391,'Plano de Contas'!#REF!,10,FALSE)),"",VLOOKUP($A391,'Plano de Contas'!#REF!,10,FALSE))</f>
        <v/>
      </c>
      <c r="R391" s="6" t="e">
        <f>VLOOKUP(A391,'Plano de Contas'!#REF!,12,FALSE)</f>
        <v>#REF!</v>
      </c>
      <c r="T391" s="6" t="e">
        <f>VLOOKUP(A391,'Plano de Contas'!#REF!,13,FALSE)</f>
        <v>#REF!</v>
      </c>
    </row>
    <row r="392" spans="1:20" s="5" customFormat="1" x14ac:dyDescent="0.25">
      <c r="A392" t="s">
        <v>710</v>
      </c>
      <c r="B392">
        <v>434</v>
      </c>
      <c r="C392" t="s">
        <v>711</v>
      </c>
      <c r="D392" s="10">
        <v>1894837.76</v>
      </c>
      <c r="E392"/>
      <c r="F392">
        <v>0</v>
      </c>
      <c r="G392"/>
      <c r="H392" s="10">
        <v>1894837.76</v>
      </c>
      <c r="I392" t="s">
        <v>35</v>
      </c>
      <c r="J392" s="10">
        <v>0</v>
      </c>
      <c r="K392"/>
      <c r="L392" s="1">
        <f t="shared" ref="L392:L455" si="6">IF(K392="-",-J392,J392)</f>
        <v>0</v>
      </c>
      <c r="N392" s="6" t="str">
        <f>IF(ISERROR(VLOOKUP($A392,'Plano de Contas'!#REF!,8,FALSE)),"",VLOOKUP($A392,'Plano de Contas'!#REF!,8,FALSE))</f>
        <v/>
      </c>
      <c r="P392" s="6" t="str">
        <f>IF(ISERROR(VLOOKUP($A392,'Plano de Contas'!#REF!,10,FALSE)),"",VLOOKUP($A392,'Plano de Contas'!#REF!,10,FALSE))</f>
        <v/>
      </c>
      <c r="R392" s="6" t="e">
        <f>VLOOKUP(A392,'Plano de Contas'!#REF!,12,FALSE)</f>
        <v>#REF!</v>
      </c>
      <c r="T392" s="6" t="e">
        <f>VLOOKUP(A392,'Plano de Contas'!#REF!,13,FALSE)</f>
        <v>#REF!</v>
      </c>
    </row>
    <row r="393" spans="1:20" s="5" customFormat="1" x14ac:dyDescent="0.25">
      <c r="A393" t="s">
        <v>712</v>
      </c>
      <c r="B393">
        <v>435</v>
      </c>
      <c r="C393" t="s">
        <v>713</v>
      </c>
      <c r="D393" s="10">
        <v>938820.84</v>
      </c>
      <c r="E393"/>
      <c r="F393">
        <v>0</v>
      </c>
      <c r="G393"/>
      <c r="H393" s="10">
        <v>938820.84</v>
      </c>
      <c r="I393" t="s">
        <v>35</v>
      </c>
      <c r="J393" s="10">
        <v>0</v>
      </c>
      <c r="K393"/>
      <c r="L393" s="1">
        <f t="shared" si="6"/>
        <v>0</v>
      </c>
      <c r="N393" s="6" t="str">
        <f>IF(ISERROR(VLOOKUP($A393,'Plano de Contas'!#REF!,8,FALSE)),"",VLOOKUP($A393,'Plano de Contas'!#REF!,8,FALSE))</f>
        <v/>
      </c>
      <c r="P393" s="6" t="str">
        <f>IF(ISERROR(VLOOKUP($A393,'Plano de Contas'!#REF!,10,FALSE)),"",VLOOKUP($A393,'Plano de Contas'!#REF!,10,FALSE))</f>
        <v/>
      </c>
      <c r="R393" s="6" t="e">
        <f>VLOOKUP(A393,'Plano de Contas'!#REF!,12,FALSE)</f>
        <v>#REF!</v>
      </c>
      <c r="T393" s="6" t="e">
        <f>VLOOKUP(A393,'Plano de Contas'!#REF!,13,FALSE)</f>
        <v>#REF!</v>
      </c>
    </row>
    <row r="394" spans="1:20" s="5" customFormat="1" x14ac:dyDescent="0.25">
      <c r="A394" t="s">
        <v>714</v>
      </c>
      <c r="B394">
        <v>482</v>
      </c>
      <c r="C394" t="s">
        <v>715</v>
      </c>
      <c r="D394" s="10">
        <v>8123088.2400000002</v>
      </c>
      <c r="E394"/>
      <c r="F394" s="10">
        <v>0</v>
      </c>
      <c r="G394"/>
      <c r="H394" s="10">
        <v>-8123088.2400000002</v>
      </c>
      <c r="I394"/>
      <c r="J394" s="10">
        <v>0</v>
      </c>
      <c r="K394"/>
      <c r="L394" s="1">
        <f t="shared" si="6"/>
        <v>0</v>
      </c>
      <c r="N394" s="6" t="str">
        <f>IF(ISERROR(VLOOKUP($A394,'Plano de Contas'!#REF!,8,FALSE)),"",VLOOKUP($A394,'Plano de Contas'!#REF!,8,FALSE))</f>
        <v/>
      </c>
      <c r="P394" s="6" t="str">
        <f>IF(ISERROR(VLOOKUP($A394,'Plano de Contas'!#REF!,10,FALSE)),"",VLOOKUP($A394,'Plano de Contas'!#REF!,10,FALSE))</f>
        <v/>
      </c>
      <c r="R394" s="6" t="e">
        <f>VLOOKUP(A394,'Plano de Contas'!#REF!,12,FALSE)</f>
        <v>#REF!</v>
      </c>
      <c r="T394" s="6" t="e">
        <f>VLOOKUP(A394,'Plano de Contas'!#REF!,13,FALSE)</f>
        <v>#REF!</v>
      </c>
    </row>
    <row r="395" spans="1:20" s="5" customFormat="1" x14ac:dyDescent="0.25">
      <c r="A395" t="s">
        <v>716</v>
      </c>
      <c r="B395">
        <v>516</v>
      </c>
      <c r="C395" t="s">
        <v>717</v>
      </c>
      <c r="D395" s="10">
        <v>350983.15</v>
      </c>
      <c r="E395"/>
      <c r="F395">
        <v>0</v>
      </c>
      <c r="G395"/>
      <c r="H395" s="10">
        <v>350983.15</v>
      </c>
      <c r="I395" t="s">
        <v>35</v>
      </c>
      <c r="J395" s="10">
        <v>0</v>
      </c>
      <c r="K395"/>
      <c r="L395" s="1">
        <f t="shared" si="6"/>
        <v>0</v>
      </c>
      <c r="N395" s="6" t="str">
        <f>IF(ISERROR(VLOOKUP($A395,'Plano de Contas'!#REF!,8,FALSE)),"",VLOOKUP($A395,'Plano de Contas'!#REF!,8,FALSE))</f>
        <v/>
      </c>
      <c r="P395" s="6" t="str">
        <f>IF(ISERROR(VLOOKUP($A395,'Plano de Contas'!#REF!,10,FALSE)),"",VLOOKUP($A395,'Plano de Contas'!#REF!,10,FALSE))</f>
        <v/>
      </c>
      <c r="R395" s="6" t="e">
        <f>VLOOKUP(A395,'Plano de Contas'!#REF!,12,FALSE)</f>
        <v>#REF!</v>
      </c>
      <c r="T395" s="6" t="e">
        <f>VLOOKUP(A395,'Plano de Contas'!#REF!,13,FALSE)</f>
        <v>#REF!</v>
      </c>
    </row>
    <row r="396" spans="1:20" s="5" customFormat="1" x14ac:dyDescent="0.25">
      <c r="A396" t="s">
        <v>718</v>
      </c>
      <c r="B396">
        <v>530</v>
      </c>
      <c r="C396" t="s">
        <v>719</v>
      </c>
      <c r="D396" s="10">
        <v>15746.32</v>
      </c>
      <c r="E396"/>
      <c r="F396" s="10">
        <v>0</v>
      </c>
      <c r="G396"/>
      <c r="H396" s="10">
        <v>15746.32</v>
      </c>
      <c r="I396" t="s">
        <v>35</v>
      </c>
      <c r="J396" s="10">
        <v>0</v>
      </c>
      <c r="K396"/>
      <c r="L396" s="1">
        <f t="shared" si="6"/>
        <v>0</v>
      </c>
      <c r="N396" s="6" t="str">
        <f>IF(ISERROR(VLOOKUP($A396,'Plano de Contas'!#REF!,8,FALSE)),"",VLOOKUP($A396,'Plano de Contas'!#REF!,8,FALSE))</f>
        <v/>
      </c>
      <c r="P396" s="6" t="str">
        <f>IF(ISERROR(VLOOKUP($A396,'Plano de Contas'!#REF!,10,FALSE)),"",VLOOKUP($A396,'Plano de Contas'!#REF!,10,FALSE))</f>
        <v/>
      </c>
      <c r="R396" s="6" t="e">
        <f>VLOOKUP(A396,'Plano de Contas'!#REF!,12,FALSE)</f>
        <v>#REF!</v>
      </c>
      <c r="T396" s="6" t="e">
        <f>VLOOKUP(A396,'Plano de Contas'!#REF!,13,FALSE)</f>
        <v>#REF!</v>
      </c>
    </row>
    <row r="397" spans="1:20" s="5" customFormat="1" x14ac:dyDescent="0.25">
      <c r="A397" t="s">
        <v>720</v>
      </c>
      <c r="B397">
        <v>536</v>
      </c>
      <c r="C397" t="s">
        <v>721</v>
      </c>
      <c r="D397" s="10">
        <v>3372654.07</v>
      </c>
      <c r="E397"/>
      <c r="F397">
        <v>0</v>
      </c>
      <c r="G397"/>
      <c r="H397" s="10">
        <v>3372654.07</v>
      </c>
      <c r="I397" t="s">
        <v>35</v>
      </c>
      <c r="J397" s="10">
        <v>0</v>
      </c>
      <c r="K397"/>
      <c r="L397" s="1">
        <f t="shared" si="6"/>
        <v>0</v>
      </c>
      <c r="N397" s="6" t="str">
        <f>IF(ISERROR(VLOOKUP($A397,'Plano de Contas'!#REF!,8,FALSE)),"",VLOOKUP($A397,'Plano de Contas'!#REF!,8,FALSE))</f>
        <v/>
      </c>
      <c r="P397" s="6" t="str">
        <f>IF(ISERROR(VLOOKUP($A397,'Plano de Contas'!#REF!,10,FALSE)),"",VLOOKUP($A397,'Plano de Contas'!#REF!,10,FALSE))</f>
        <v/>
      </c>
      <c r="R397" s="6" t="e">
        <f>VLOOKUP(A397,'Plano de Contas'!#REF!,12,FALSE)</f>
        <v>#REF!</v>
      </c>
      <c r="T397" s="6" t="e">
        <f>VLOOKUP(A397,'Plano de Contas'!#REF!,13,FALSE)</f>
        <v>#REF!</v>
      </c>
    </row>
    <row r="398" spans="1:20" s="5" customFormat="1" x14ac:dyDescent="0.25">
      <c r="A398" t="s">
        <v>722</v>
      </c>
      <c r="B398">
        <v>580</v>
      </c>
      <c r="C398" t="s">
        <v>723</v>
      </c>
      <c r="D398" s="10">
        <v>2201168.39</v>
      </c>
      <c r="E398" t="s">
        <v>35</v>
      </c>
      <c r="F398" s="10">
        <v>2201168.39</v>
      </c>
      <c r="G398"/>
      <c r="H398" s="10">
        <v>0</v>
      </c>
      <c r="I398"/>
      <c r="J398" s="10">
        <v>0</v>
      </c>
      <c r="K398"/>
      <c r="L398" s="1">
        <f t="shared" si="6"/>
        <v>0</v>
      </c>
      <c r="N398" s="6" t="str">
        <f>IF(ISERROR(VLOOKUP($A398,'Plano de Contas'!#REF!,8,FALSE)),"",VLOOKUP($A398,'Plano de Contas'!#REF!,8,FALSE))</f>
        <v/>
      </c>
      <c r="P398" s="6" t="str">
        <f>IF(ISERROR(VLOOKUP($A398,'Plano de Contas'!#REF!,10,FALSE)),"",VLOOKUP($A398,'Plano de Contas'!#REF!,10,FALSE))</f>
        <v/>
      </c>
      <c r="R398" s="6" t="e">
        <f>VLOOKUP(A398,'Plano de Contas'!#REF!,12,FALSE)</f>
        <v>#REF!</v>
      </c>
      <c r="T398" s="6" t="e">
        <f>VLOOKUP(A398,'Plano de Contas'!#REF!,13,FALSE)</f>
        <v>#REF!</v>
      </c>
    </row>
    <row r="399" spans="1:20" s="5" customFormat="1" x14ac:dyDescent="0.25">
      <c r="A399" t="s">
        <v>724</v>
      </c>
      <c r="B399">
        <v>626</v>
      </c>
      <c r="C399" t="s">
        <v>725</v>
      </c>
      <c r="D399" s="10">
        <v>557955.16</v>
      </c>
      <c r="E399"/>
      <c r="F399" s="10">
        <v>0</v>
      </c>
      <c r="G399"/>
      <c r="H399" s="10">
        <v>557955.16</v>
      </c>
      <c r="I399" t="s">
        <v>35</v>
      </c>
      <c r="J399" s="10">
        <v>0</v>
      </c>
      <c r="K399"/>
      <c r="L399" s="1">
        <f t="shared" si="6"/>
        <v>0</v>
      </c>
      <c r="N399" s="6" t="str">
        <f>IF(ISERROR(VLOOKUP($A399,'Plano de Contas'!#REF!,8,FALSE)),"",VLOOKUP($A399,'Plano de Contas'!#REF!,8,FALSE))</f>
        <v/>
      </c>
      <c r="P399" s="6" t="str">
        <f>IF(ISERROR(VLOOKUP($A399,'Plano de Contas'!#REF!,10,FALSE)),"",VLOOKUP($A399,'Plano de Contas'!#REF!,10,FALSE))</f>
        <v/>
      </c>
      <c r="R399" s="6" t="e">
        <f>VLOOKUP(A399,'Plano de Contas'!#REF!,12,FALSE)</f>
        <v>#REF!</v>
      </c>
      <c r="T399" s="6" t="e">
        <f>VLOOKUP(A399,'Plano de Contas'!#REF!,13,FALSE)</f>
        <v>#REF!</v>
      </c>
    </row>
    <row r="400" spans="1:20" s="5" customFormat="1" x14ac:dyDescent="0.25">
      <c r="A400" t="s">
        <v>726</v>
      </c>
      <c r="B400">
        <v>664</v>
      </c>
      <c r="C400" t="s">
        <v>727</v>
      </c>
      <c r="D400" s="10">
        <v>1363657.14</v>
      </c>
      <c r="E400" t="s">
        <v>35</v>
      </c>
      <c r="F400" s="10">
        <v>1363657.14</v>
      </c>
      <c r="G400"/>
      <c r="H400" s="10">
        <v>0</v>
      </c>
      <c r="I400"/>
      <c r="J400" s="10">
        <v>0</v>
      </c>
      <c r="K400"/>
      <c r="L400" s="1">
        <f t="shared" si="6"/>
        <v>0</v>
      </c>
      <c r="N400" s="6" t="str">
        <f>IF(ISERROR(VLOOKUP($A400,'Plano de Contas'!#REF!,8,FALSE)),"",VLOOKUP($A400,'Plano de Contas'!#REF!,8,FALSE))</f>
        <v/>
      </c>
      <c r="P400" s="6" t="str">
        <f>IF(ISERROR(VLOOKUP($A400,'Plano de Contas'!#REF!,10,FALSE)),"",VLOOKUP($A400,'Plano de Contas'!#REF!,10,FALSE))</f>
        <v/>
      </c>
      <c r="R400" s="6" t="e">
        <f>VLOOKUP(A400,'Plano de Contas'!#REF!,12,FALSE)</f>
        <v>#REF!</v>
      </c>
      <c r="T400" s="6" t="e">
        <f>VLOOKUP(A400,'Plano de Contas'!#REF!,13,FALSE)</f>
        <v>#REF!</v>
      </c>
    </row>
    <row r="401" spans="1:20" s="5" customFormat="1" x14ac:dyDescent="0.25">
      <c r="A401" t="s">
        <v>728</v>
      </c>
      <c r="B401">
        <v>714</v>
      </c>
      <c r="C401" t="s">
        <v>729</v>
      </c>
      <c r="D401" s="10">
        <v>876196.77</v>
      </c>
      <c r="E401"/>
      <c r="F401" s="10">
        <v>0</v>
      </c>
      <c r="G401"/>
      <c r="H401" s="10">
        <v>876196.77</v>
      </c>
      <c r="I401" t="s">
        <v>35</v>
      </c>
      <c r="J401" s="10">
        <v>0</v>
      </c>
      <c r="K401"/>
      <c r="L401" s="1">
        <f t="shared" si="6"/>
        <v>0</v>
      </c>
      <c r="N401" s="6" t="str">
        <f>IF(ISERROR(VLOOKUP($A401,'Plano de Contas'!#REF!,8,FALSE)),"",VLOOKUP($A401,'Plano de Contas'!#REF!,8,FALSE))</f>
        <v/>
      </c>
      <c r="P401" s="6" t="str">
        <f>IF(ISERROR(VLOOKUP($A401,'Plano de Contas'!#REF!,10,FALSE)),"",VLOOKUP($A401,'Plano de Contas'!#REF!,10,FALSE))</f>
        <v/>
      </c>
      <c r="R401" s="6" t="e">
        <f>VLOOKUP(A401,'Plano de Contas'!#REF!,12,FALSE)</f>
        <v>#REF!</v>
      </c>
      <c r="T401" s="6" t="e">
        <f>VLOOKUP(A401,'Plano de Contas'!#REF!,13,FALSE)</f>
        <v>#REF!</v>
      </c>
    </row>
    <row r="402" spans="1:20" s="5" customFormat="1" x14ac:dyDescent="0.25">
      <c r="A402" t="s">
        <v>730</v>
      </c>
      <c r="B402">
        <v>911</v>
      </c>
      <c r="C402" t="s">
        <v>731</v>
      </c>
      <c r="D402" s="10">
        <v>18117157.899999999</v>
      </c>
      <c r="E402" t="s">
        <v>35</v>
      </c>
      <c r="F402" s="10">
        <v>18117157.899999999</v>
      </c>
      <c r="G402"/>
      <c r="H402" s="10">
        <v>0</v>
      </c>
      <c r="I402"/>
      <c r="J402" s="10">
        <v>0</v>
      </c>
      <c r="K402"/>
      <c r="L402" s="1">
        <f t="shared" si="6"/>
        <v>0</v>
      </c>
      <c r="N402" s="6" t="str">
        <f>IF(ISERROR(VLOOKUP($A402,'Plano de Contas'!#REF!,8,FALSE)),"",VLOOKUP($A402,'Plano de Contas'!#REF!,8,FALSE))</f>
        <v/>
      </c>
      <c r="P402" s="6" t="str">
        <f>IF(ISERROR(VLOOKUP($A402,'Plano de Contas'!#REF!,10,FALSE)),"",VLOOKUP($A402,'Plano de Contas'!#REF!,10,FALSE))</f>
        <v/>
      </c>
      <c r="R402" s="6" t="e">
        <f>VLOOKUP(A402,'Plano de Contas'!#REF!,12,FALSE)</f>
        <v>#REF!</v>
      </c>
      <c r="T402" s="6" t="e">
        <f>VLOOKUP(A402,'Plano de Contas'!#REF!,13,FALSE)</f>
        <v>#REF!</v>
      </c>
    </row>
    <row r="403" spans="1:20" s="5" customFormat="1" x14ac:dyDescent="0.25">
      <c r="A403" t="s">
        <v>732</v>
      </c>
      <c r="B403">
        <v>930</v>
      </c>
      <c r="C403" t="s">
        <v>733</v>
      </c>
      <c r="D403" s="10">
        <v>2979196.86</v>
      </c>
      <c r="E403" t="s">
        <v>35</v>
      </c>
      <c r="F403" s="10">
        <v>2979196.86</v>
      </c>
      <c r="G403"/>
      <c r="H403" s="10">
        <v>0</v>
      </c>
      <c r="I403"/>
      <c r="J403" s="10">
        <v>0</v>
      </c>
      <c r="K403"/>
      <c r="L403" s="1">
        <f t="shared" si="6"/>
        <v>0</v>
      </c>
      <c r="N403" s="6" t="str">
        <f>IF(ISERROR(VLOOKUP($A403,'Plano de Contas'!#REF!,8,FALSE)),"",VLOOKUP($A403,'Plano de Contas'!#REF!,8,FALSE))</f>
        <v/>
      </c>
      <c r="P403" s="6" t="str">
        <f>IF(ISERROR(VLOOKUP($A403,'Plano de Contas'!#REF!,10,FALSE)),"",VLOOKUP($A403,'Plano de Contas'!#REF!,10,FALSE))</f>
        <v/>
      </c>
      <c r="R403" s="6" t="e">
        <f>VLOOKUP(A403,'Plano de Contas'!#REF!,12,FALSE)</f>
        <v>#REF!</v>
      </c>
      <c r="T403" s="6" t="e">
        <f>VLOOKUP(A403,'Plano de Contas'!#REF!,13,FALSE)</f>
        <v>#REF!</v>
      </c>
    </row>
    <row r="404" spans="1:20" s="5" customFormat="1" x14ac:dyDescent="0.25">
      <c r="A404" t="s">
        <v>1058</v>
      </c>
      <c r="B404">
        <v>972</v>
      </c>
      <c r="C404" t="s">
        <v>1059</v>
      </c>
      <c r="D404" s="10">
        <v>8776391.7200000007</v>
      </c>
      <c r="E404" t="s">
        <v>35</v>
      </c>
      <c r="F404" s="10">
        <v>8776391.7200000007</v>
      </c>
      <c r="G404"/>
      <c r="H404" s="10">
        <v>0</v>
      </c>
      <c r="I404"/>
      <c r="J404" s="10">
        <v>0</v>
      </c>
      <c r="K404"/>
      <c r="L404" s="1">
        <f t="shared" si="6"/>
        <v>0</v>
      </c>
      <c r="N404" s="6" t="str">
        <f>IF(ISERROR(VLOOKUP($A404,'Plano de Contas'!#REF!,8,FALSE)),"",VLOOKUP($A404,'Plano de Contas'!#REF!,8,FALSE))</f>
        <v/>
      </c>
      <c r="P404" s="6" t="str">
        <f>IF(ISERROR(VLOOKUP($A404,'Plano de Contas'!#REF!,10,FALSE)),"",VLOOKUP($A404,'Plano de Contas'!#REF!,10,FALSE))</f>
        <v/>
      </c>
      <c r="R404" s="6" t="e">
        <f>VLOOKUP(A404,'Plano de Contas'!#REF!,12,FALSE)</f>
        <v>#REF!</v>
      </c>
      <c r="T404" s="6" t="e">
        <f>VLOOKUP(A404,'Plano de Contas'!#REF!,13,FALSE)</f>
        <v>#REF!</v>
      </c>
    </row>
    <row r="405" spans="1:20" s="5" customFormat="1" x14ac:dyDescent="0.25">
      <c r="A405" t="s">
        <v>1220</v>
      </c>
      <c r="B405">
        <v>1049</v>
      </c>
      <c r="C405" t="s">
        <v>1221</v>
      </c>
      <c r="D405" s="10">
        <v>18246751.93</v>
      </c>
      <c r="E405" t="s">
        <v>35</v>
      </c>
      <c r="F405" s="10">
        <v>19043893.34</v>
      </c>
      <c r="G405"/>
      <c r="H405" s="10">
        <v>797141.41</v>
      </c>
      <c r="I405" t="s">
        <v>35</v>
      </c>
      <c r="J405" s="10">
        <v>0</v>
      </c>
      <c r="K405"/>
      <c r="L405" s="1">
        <f t="shared" si="6"/>
        <v>0</v>
      </c>
      <c r="N405" s="6" t="str">
        <f>IF(ISERROR(VLOOKUP($A405,'Plano de Contas'!#REF!,8,FALSE)),"",VLOOKUP($A405,'Plano de Contas'!#REF!,8,FALSE))</f>
        <v/>
      </c>
      <c r="P405" s="6" t="str">
        <f>IF(ISERROR(VLOOKUP($A405,'Plano de Contas'!#REF!,10,FALSE)),"",VLOOKUP($A405,'Plano de Contas'!#REF!,10,FALSE))</f>
        <v/>
      </c>
      <c r="R405" s="6" t="e">
        <f>VLOOKUP(A405,'Plano de Contas'!#REF!,12,FALSE)</f>
        <v>#REF!</v>
      </c>
      <c r="T405" s="6" t="e">
        <f>VLOOKUP(A405,'Plano de Contas'!#REF!,13,FALSE)</f>
        <v>#REF!</v>
      </c>
    </row>
    <row r="406" spans="1:20" s="5" customFormat="1" x14ac:dyDescent="0.25">
      <c r="A406" t="s">
        <v>1222</v>
      </c>
      <c r="B406">
        <v>1087</v>
      </c>
      <c r="C406" t="s">
        <v>1223</v>
      </c>
      <c r="D406" s="10">
        <v>58213472.530000001</v>
      </c>
      <c r="E406"/>
      <c r="F406" s="10">
        <v>3709836.95</v>
      </c>
      <c r="G406"/>
      <c r="H406" s="10">
        <v>58670972.530000001</v>
      </c>
      <c r="I406" t="s">
        <v>35</v>
      </c>
      <c r="J406" s="10">
        <v>3252336.95</v>
      </c>
      <c r="K406"/>
      <c r="L406" s="1">
        <f t="shared" si="6"/>
        <v>3252336.95</v>
      </c>
      <c r="N406" s="6" t="str">
        <f>IF(ISERROR(VLOOKUP($A406,'Plano de Contas'!#REF!,8,FALSE)),"",VLOOKUP($A406,'Plano de Contas'!#REF!,8,FALSE))</f>
        <v/>
      </c>
      <c r="P406" s="6" t="str">
        <f>IF(ISERROR(VLOOKUP($A406,'Plano de Contas'!#REF!,10,FALSE)),"",VLOOKUP($A406,'Plano de Contas'!#REF!,10,FALSE))</f>
        <v/>
      </c>
      <c r="R406" s="6" t="e">
        <f>VLOOKUP(A406,'Plano de Contas'!#REF!,12,FALSE)</f>
        <v>#REF!</v>
      </c>
      <c r="T406" s="6" t="e">
        <f>VLOOKUP(A406,'Plano de Contas'!#REF!,13,FALSE)</f>
        <v>#REF!</v>
      </c>
    </row>
    <row r="407" spans="1:20" s="5" customFormat="1" x14ac:dyDescent="0.25">
      <c r="A407" t="s">
        <v>1224</v>
      </c>
      <c r="B407">
        <v>1088</v>
      </c>
      <c r="C407" t="s">
        <v>1215</v>
      </c>
      <c r="D407" s="10">
        <v>54741814.700000003</v>
      </c>
      <c r="E407" t="s">
        <v>35</v>
      </c>
      <c r="F407" s="10">
        <v>54741814.700000003</v>
      </c>
      <c r="G407"/>
      <c r="H407" s="10">
        <v>0</v>
      </c>
      <c r="I407"/>
      <c r="J407" s="10">
        <v>0</v>
      </c>
      <c r="K407"/>
      <c r="L407" s="1">
        <f t="shared" si="6"/>
        <v>0</v>
      </c>
      <c r="N407" s="6" t="str">
        <f>IF(ISERROR(VLOOKUP($A407,'Plano de Contas'!#REF!,8,FALSE)),"",VLOOKUP($A407,'Plano de Contas'!#REF!,8,FALSE))</f>
        <v/>
      </c>
      <c r="P407" s="6" t="str">
        <f>IF(ISERROR(VLOOKUP($A407,'Plano de Contas'!#REF!,10,FALSE)),"",VLOOKUP($A407,'Plano de Contas'!#REF!,10,FALSE))</f>
        <v/>
      </c>
      <c r="R407" s="6" t="e">
        <f>VLOOKUP(A407,'Plano de Contas'!#REF!,12,FALSE)</f>
        <v>#REF!</v>
      </c>
      <c r="T407" s="6" t="e">
        <f>VLOOKUP(A407,'Plano de Contas'!#REF!,13,FALSE)</f>
        <v>#REF!</v>
      </c>
    </row>
    <row r="408" spans="1:20" s="5" customFormat="1" x14ac:dyDescent="0.25">
      <c r="A408"/>
      <c r="B408"/>
      <c r="C408"/>
      <c r="D408" s="10"/>
      <c r="E408"/>
      <c r="F408" s="10"/>
      <c r="G408"/>
      <c r="H408" s="10"/>
      <c r="I408"/>
      <c r="J408" s="10"/>
      <c r="K408"/>
      <c r="L408" s="1">
        <f t="shared" si="6"/>
        <v>0</v>
      </c>
      <c r="N408" s="6" t="str">
        <f>IF(ISERROR(VLOOKUP($A408,'Plano de Contas'!#REF!,8,FALSE)),"",VLOOKUP($A408,'Plano de Contas'!#REF!,8,FALSE))</f>
        <v/>
      </c>
      <c r="P408" s="6" t="str">
        <f>IF(ISERROR(VLOOKUP($A408,'Plano de Contas'!#REF!,10,FALSE)),"",VLOOKUP($A408,'Plano de Contas'!#REF!,10,FALSE))</f>
        <v/>
      </c>
      <c r="R408" s="6" t="e">
        <f>VLOOKUP(A408,'Plano de Contas'!#REF!,12,FALSE)</f>
        <v>#REF!</v>
      </c>
      <c r="T408" s="6" t="e">
        <f>VLOOKUP(A408,'Plano de Contas'!#REF!,13,FALSE)</f>
        <v>#REF!</v>
      </c>
    </row>
    <row r="409" spans="1:20" s="5" customFormat="1" x14ac:dyDescent="0.25">
      <c r="A409">
        <v>3</v>
      </c>
      <c r="B409">
        <v>195</v>
      </c>
      <c r="C409" t="s">
        <v>734</v>
      </c>
      <c r="D409" s="10">
        <v>16613759.98</v>
      </c>
      <c r="E409" t="s">
        <v>35</v>
      </c>
      <c r="F409" s="10">
        <v>24138025.629999999</v>
      </c>
      <c r="G409"/>
      <c r="H409" s="10">
        <v>19220062.120000001</v>
      </c>
      <c r="I409" t="s">
        <v>35</v>
      </c>
      <c r="J409" s="10">
        <v>11695796.470000001</v>
      </c>
      <c r="K409" t="s">
        <v>35</v>
      </c>
      <c r="L409" s="1">
        <f t="shared" si="6"/>
        <v>-11695796.470000001</v>
      </c>
      <c r="N409" s="6" t="str">
        <f>IF(ISERROR(VLOOKUP($A409,'Plano de Contas'!#REF!,8,FALSE)),"",VLOOKUP($A409,'Plano de Contas'!#REF!,8,FALSE))</f>
        <v/>
      </c>
      <c r="P409" s="6" t="str">
        <f>IF(ISERROR(VLOOKUP($A409,'Plano de Contas'!#REF!,10,FALSE)),"",VLOOKUP($A409,'Plano de Contas'!#REF!,10,FALSE))</f>
        <v/>
      </c>
      <c r="R409" s="6" t="e">
        <f>VLOOKUP(A409,'Plano de Contas'!#REF!,12,FALSE)</f>
        <v>#REF!</v>
      </c>
      <c r="T409" s="6" t="e">
        <f>VLOOKUP(A409,'Plano de Contas'!#REF!,13,FALSE)</f>
        <v>#REF!</v>
      </c>
    </row>
    <row r="410" spans="1:20" s="5" customFormat="1" x14ac:dyDescent="0.25">
      <c r="A410"/>
      <c r="B410"/>
      <c r="C410"/>
      <c r="D410" s="10"/>
      <c r="E410"/>
      <c r="F410" s="10"/>
      <c r="G410"/>
      <c r="H410" s="10"/>
      <c r="I410"/>
      <c r="J410" s="10"/>
      <c r="K410"/>
      <c r="L410" s="1">
        <f t="shared" si="6"/>
        <v>0</v>
      </c>
      <c r="N410" s="6" t="str">
        <f>IF(ISERROR(VLOOKUP($A410,'Plano de Contas'!#REF!,8,FALSE)),"",VLOOKUP($A410,'Plano de Contas'!#REF!,8,FALSE))</f>
        <v/>
      </c>
      <c r="P410" s="6" t="str">
        <f>IF(ISERROR(VLOOKUP($A410,'Plano de Contas'!#REF!,10,FALSE)),"",VLOOKUP($A410,'Plano de Contas'!#REF!,10,FALSE))</f>
        <v/>
      </c>
      <c r="R410" s="6" t="e">
        <f>VLOOKUP(A410,'Plano de Contas'!#REF!,12,FALSE)</f>
        <v>#REF!</v>
      </c>
      <c r="T410" s="6" t="e">
        <f>VLOOKUP(A410,'Plano de Contas'!#REF!,13,FALSE)</f>
        <v>#REF!</v>
      </c>
    </row>
    <row r="411" spans="1:20" s="5" customFormat="1" x14ac:dyDescent="0.25">
      <c r="A411" t="s">
        <v>735</v>
      </c>
      <c r="B411">
        <v>196</v>
      </c>
      <c r="C411" t="s">
        <v>736</v>
      </c>
      <c r="D411" s="10">
        <v>22945714.809999999</v>
      </c>
      <c r="E411" t="s">
        <v>35</v>
      </c>
      <c r="F411" s="10">
        <v>24042256.469999999</v>
      </c>
      <c r="G411"/>
      <c r="H411" s="10">
        <v>18413748.489999998</v>
      </c>
      <c r="I411" t="s">
        <v>35</v>
      </c>
      <c r="J411" s="10">
        <v>17317206.829999998</v>
      </c>
      <c r="K411" t="s">
        <v>35</v>
      </c>
      <c r="L411" s="1">
        <f t="shared" si="6"/>
        <v>-17317206.829999998</v>
      </c>
      <c r="N411" s="6" t="str">
        <f>IF(ISERROR(VLOOKUP($A411,'Plano de Contas'!#REF!,8,FALSE)),"",VLOOKUP($A411,'Plano de Contas'!#REF!,8,FALSE))</f>
        <v/>
      </c>
      <c r="P411" s="6" t="str">
        <f>IF(ISERROR(VLOOKUP($A411,'Plano de Contas'!#REF!,10,FALSE)),"",VLOOKUP($A411,'Plano de Contas'!#REF!,10,FALSE))</f>
        <v/>
      </c>
      <c r="R411" s="6" t="e">
        <f>VLOOKUP(A411,'Plano de Contas'!#REF!,12,FALSE)</f>
        <v>#REF!</v>
      </c>
      <c r="T411" s="6" t="e">
        <f>VLOOKUP(A411,'Plano de Contas'!#REF!,13,FALSE)</f>
        <v>#REF!</v>
      </c>
    </row>
    <row r="412" spans="1:20" s="5" customFormat="1" x14ac:dyDescent="0.25">
      <c r="A412"/>
      <c r="B412"/>
      <c r="C412"/>
      <c r="D412" s="10"/>
      <c r="E412"/>
      <c r="F412" s="10"/>
      <c r="G412"/>
      <c r="H412" s="10"/>
      <c r="I412"/>
      <c r="J412" s="10"/>
      <c r="K412"/>
      <c r="L412" s="1">
        <f t="shared" si="6"/>
        <v>0</v>
      </c>
      <c r="N412" s="6" t="str">
        <f>IF(ISERROR(VLOOKUP($A412,'Plano de Contas'!#REF!,8,FALSE)),"",VLOOKUP($A412,'Plano de Contas'!#REF!,8,FALSE))</f>
        <v/>
      </c>
      <c r="P412" s="6" t="str">
        <f>IF(ISERROR(VLOOKUP($A412,'Plano de Contas'!#REF!,10,FALSE)),"",VLOOKUP($A412,'Plano de Contas'!#REF!,10,FALSE))</f>
        <v/>
      </c>
      <c r="R412" s="6" t="e">
        <f>VLOOKUP(A412,'Plano de Contas'!#REF!,12,FALSE)</f>
        <v>#REF!</v>
      </c>
      <c r="T412" s="6" t="e">
        <f>VLOOKUP(A412,'Plano de Contas'!#REF!,13,FALSE)</f>
        <v>#REF!</v>
      </c>
    </row>
    <row r="413" spans="1:20" s="5" customFormat="1" x14ac:dyDescent="0.25">
      <c r="A413" t="s">
        <v>737</v>
      </c>
      <c r="B413">
        <v>197</v>
      </c>
      <c r="C413" t="s">
        <v>738</v>
      </c>
      <c r="D413" s="10">
        <v>119284822.04000001</v>
      </c>
      <c r="E413" t="s">
        <v>35</v>
      </c>
      <c r="F413" s="10">
        <v>1737598.44</v>
      </c>
      <c r="G413"/>
      <c r="H413" s="10">
        <v>14183961.039999999</v>
      </c>
      <c r="I413" t="s">
        <v>35</v>
      </c>
      <c r="J413" s="10">
        <v>131731184.64</v>
      </c>
      <c r="K413" t="s">
        <v>35</v>
      </c>
      <c r="L413" s="1">
        <f t="shared" si="6"/>
        <v>-131731184.64</v>
      </c>
      <c r="N413" s="6" t="str">
        <f>IF(ISERROR(VLOOKUP($A413,'Plano de Contas'!#REF!,8,FALSE)),"",VLOOKUP($A413,'Plano de Contas'!#REF!,8,FALSE))</f>
        <v/>
      </c>
      <c r="P413" s="6" t="str">
        <f>IF(ISERROR(VLOOKUP($A413,'Plano de Contas'!#REF!,10,FALSE)),"",VLOOKUP($A413,'Plano de Contas'!#REF!,10,FALSE))</f>
        <v/>
      </c>
      <c r="R413" s="6" t="e">
        <f>VLOOKUP(A413,'Plano de Contas'!#REF!,12,FALSE)</f>
        <v>#REF!</v>
      </c>
      <c r="T413" s="6" t="e">
        <f>VLOOKUP(A413,'Plano de Contas'!#REF!,13,FALSE)</f>
        <v>#REF!</v>
      </c>
    </row>
    <row r="414" spans="1:20" s="5" customFormat="1" x14ac:dyDescent="0.25">
      <c r="A414"/>
      <c r="B414"/>
      <c r="C414"/>
      <c r="D414" s="10"/>
      <c r="E414"/>
      <c r="F414" s="10"/>
      <c r="G414"/>
      <c r="H414" s="10"/>
      <c r="I414"/>
      <c r="J414" s="10"/>
      <c r="K414"/>
      <c r="L414" s="1">
        <f t="shared" si="6"/>
        <v>0</v>
      </c>
      <c r="N414" s="6" t="str">
        <f>IF(ISERROR(VLOOKUP($A414,'Plano de Contas'!#REF!,8,FALSE)),"",VLOOKUP($A414,'Plano de Contas'!#REF!,8,FALSE))</f>
        <v/>
      </c>
      <c r="P414" s="6" t="str">
        <f>IF(ISERROR(VLOOKUP($A414,'Plano de Contas'!#REF!,10,FALSE)),"",VLOOKUP($A414,'Plano de Contas'!#REF!,10,FALSE))</f>
        <v/>
      </c>
      <c r="R414" s="6" t="e">
        <f>VLOOKUP(A414,'Plano de Contas'!#REF!,12,FALSE)</f>
        <v>#REF!</v>
      </c>
      <c r="T414" s="6" t="e">
        <f>VLOOKUP(A414,'Plano de Contas'!#REF!,13,FALSE)</f>
        <v>#REF!</v>
      </c>
    </row>
    <row r="415" spans="1:20" s="5" customFormat="1" x14ac:dyDescent="0.25">
      <c r="A415" t="s">
        <v>739</v>
      </c>
      <c r="B415">
        <v>198</v>
      </c>
      <c r="C415" t="s">
        <v>740</v>
      </c>
      <c r="D415" s="10">
        <v>135660409.06999999</v>
      </c>
      <c r="E415" t="s">
        <v>35</v>
      </c>
      <c r="F415" s="10">
        <v>2307.3000000000002</v>
      </c>
      <c r="G415"/>
      <c r="H415" s="10">
        <v>14172434.52</v>
      </c>
      <c r="I415" t="s">
        <v>35</v>
      </c>
      <c r="J415" s="10">
        <v>149830536.28999999</v>
      </c>
      <c r="K415" t="s">
        <v>35</v>
      </c>
      <c r="L415" s="1">
        <f t="shared" si="6"/>
        <v>-149830536.28999999</v>
      </c>
      <c r="N415" s="6" t="str">
        <f>IF(ISERROR(VLOOKUP($A415,'Plano de Contas'!#REF!,8,FALSE)),"",VLOOKUP($A415,'Plano de Contas'!#REF!,8,FALSE))</f>
        <v/>
      </c>
      <c r="P415" s="6" t="str">
        <f>IF(ISERROR(VLOOKUP($A415,'Plano de Contas'!#REF!,10,FALSE)),"",VLOOKUP($A415,'Plano de Contas'!#REF!,10,FALSE))</f>
        <v/>
      </c>
      <c r="R415" s="6" t="e">
        <f>VLOOKUP(A415,'Plano de Contas'!#REF!,12,FALSE)</f>
        <v>#REF!</v>
      </c>
      <c r="T415" s="6" t="e">
        <f>VLOOKUP(A415,'Plano de Contas'!#REF!,13,FALSE)</f>
        <v>#REF!</v>
      </c>
    </row>
    <row r="416" spans="1:20" s="5" customFormat="1" x14ac:dyDescent="0.25">
      <c r="A416" t="s">
        <v>741</v>
      </c>
      <c r="B416">
        <v>199</v>
      </c>
      <c r="C416" t="s">
        <v>742</v>
      </c>
      <c r="D416" s="10">
        <v>-52319463.039999999</v>
      </c>
      <c r="E416"/>
      <c r="F416" s="10">
        <v>2307.3000000000002</v>
      </c>
      <c r="G416"/>
      <c r="H416" s="10">
        <v>-5691877.0899999999</v>
      </c>
      <c r="I416"/>
      <c r="J416" s="10">
        <v>-58009032.829999998</v>
      </c>
      <c r="K416"/>
      <c r="L416" s="1">
        <f t="shared" si="6"/>
        <v>-58009032.829999998</v>
      </c>
      <c r="N416" s="6" t="str">
        <f>IF(ISERROR(VLOOKUP($A416,'Plano de Contas'!#REF!,8,FALSE)),"",VLOOKUP($A416,'Plano de Contas'!#REF!,8,FALSE))</f>
        <v/>
      </c>
      <c r="P416" s="6" t="str">
        <f>IF(ISERROR(VLOOKUP($A416,'Plano de Contas'!#REF!,10,FALSE)),"",VLOOKUP($A416,'Plano de Contas'!#REF!,10,FALSE))</f>
        <v/>
      </c>
      <c r="R416" s="6" t="e">
        <f>VLOOKUP(A416,'Plano de Contas'!#REF!,12,FALSE)</f>
        <v>#REF!</v>
      </c>
      <c r="T416" s="6" t="e">
        <f>VLOOKUP(A416,'Plano de Contas'!#REF!,13,FALSE)</f>
        <v>#REF!</v>
      </c>
    </row>
    <row r="417" spans="1:20" s="5" customFormat="1" x14ac:dyDescent="0.25">
      <c r="A417" t="s">
        <v>743</v>
      </c>
      <c r="B417">
        <v>200</v>
      </c>
      <c r="C417" t="s">
        <v>744</v>
      </c>
      <c r="D417" s="10">
        <v>-1354214.97</v>
      </c>
      <c r="E417"/>
      <c r="F417" s="10">
        <v>0</v>
      </c>
      <c r="G417"/>
      <c r="H417" s="10">
        <v>-61819.35</v>
      </c>
      <c r="I417"/>
      <c r="J417" s="10">
        <v>-1416034.32</v>
      </c>
      <c r="K417"/>
      <c r="L417" s="1">
        <f t="shared" si="6"/>
        <v>-1416034.32</v>
      </c>
      <c r="N417" s="6" t="str">
        <f>IF(ISERROR(VLOOKUP($A417,'Plano de Contas'!#REF!,8,FALSE)),"",VLOOKUP($A417,'Plano de Contas'!#REF!,8,FALSE))</f>
        <v/>
      </c>
      <c r="P417" s="6" t="str">
        <f>IF(ISERROR(VLOOKUP($A417,'Plano de Contas'!#REF!,10,FALSE)),"",VLOOKUP($A417,'Plano de Contas'!#REF!,10,FALSE))</f>
        <v/>
      </c>
      <c r="R417" s="6" t="e">
        <f>VLOOKUP(A417,'Plano de Contas'!#REF!,12,FALSE)</f>
        <v>#REF!</v>
      </c>
      <c r="T417" s="6" t="e">
        <f>VLOOKUP(A417,'Plano de Contas'!#REF!,13,FALSE)</f>
        <v>#REF!</v>
      </c>
    </row>
    <row r="418" spans="1:20" s="5" customFormat="1" x14ac:dyDescent="0.25">
      <c r="A418" t="s">
        <v>745</v>
      </c>
      <c r="B418">
        <v>201</v>
      </c>
      <c r="C418" t="s">
        <v>746</v>
      </c>
      <c r="D418" s="10">
        <v>-8855357.4800000004</v>
      </c>
      <c r="E418"/>
      <c r="F418">
        <v>0</v>
      </c>
      <c r="G418"/>
      <c r="H418" s="10">
        <v>-905536.19</v>
      </c>
      <c r="I418"/>
      <c r="J418" s="10">
        <v>-9760893.6699999999</v>
      </c>
      <c r="K418"/>
      <c r="L418" s="1">
        <f t="shared" si="6"/>
        <v>-9760893.6699999999</v>
      </c>
      <c r="N418" s="6" t="str">
        <f>IF(ISERROR(VLOOKUP($A418,'Plano de Contas'!#REF!,8,FALSE)),"",VLOOKUP($A418,'Plano de Contas'!#REF!,8,FALSE))</f>
        <v/>
      </c>
      <c r="P418" s="6" t="str">
        <f>IF(ISERROR(VLOOKUP($A418,'Plano de Contas'!#REF!,10,FALSE)),"",VLOOKUP($A418,'Plano de Contas'!#REF!,10,FALSE))</f>
        <v/>
      </c>
      <c r="R418" s="6" t="e">
        <f>VLOOKUP(A418,'Plano de Contas'!#REF!,12,FALSE)</f>
        <v>#REF!</v>
      </c>
      <c r="T418" s="6" t="e">
        <f>VLOOKUP(A418,'Plano de Contas'!#REF!,13,FALSE)</f>
        <v>#REF!</v>
      </c>
    </row>
    <row r="419" spans="1:20" s="5" customFormat="1" x14ac:dyDescent="0.25">
      <c r="A419" t="s">
        <v>747</v>
      </c>
      <c r="B419">
        <v>202</v>
      </c>
      <c r="C419" t="s">
        <v>748</v>
      </c>
      <c r="D419" s="10">
        <v>72162059.819999993</v>
      </c>
      <c r="E419" t="s">
        <v>35</v>
      </c>
      <c r="F419" s="10">
        <v>0</v>
      </c>
      <c r="G419"/>
      <c r="H419" s="10">
        <v>7350202.2999999998</v>
      </c>
      <c r="I419" t="s">
        <v>35</v>
      </c>
      <c r="J419" s="10">
        <v>79512262.120000005</v>
      </c>
      <c r="K419" t="s">
        <v>35</v>
      </c>
      <c r="L419" s="1">
        <f t="shared" si="6"/>
        <v>-79512262.120000005</v>
      </c>
      <c r="N419" s="6" t="str">
        <f>IF(ISERROR(VLOOKUP($A419,'Plano de Contas'!#REF!,8,FALSE)),"",VLOOKUP($A419,'Plano de Contas'!#REF!,8,FALSE))</f>
        <v/>
      </c>
      <c r="P419" s="6" t="str">
        <f>IF(ISERROR(VLOOKUP($A419,'Plano de Contas'!#REF!,10,FALSE)),"",VLOOKUP($A419,'Plano de Contas'!#REF!,10,FALSE))</f>
        <v/>
      </c>
      <c r="R419" s="6" t="e">
        <f>VLOOKUP(A419,'Plano de Contas'!#REF!,12,FALSE)</f>
        <v>#REF!</v>
      </c>
      <c r="T419" s="6" t="e">
        <f>VLOOKUP(A419,'Plano de Contas'!#REF!,13,FALSE)</f>
        <v>#REF!</v>
      </c>
    </row>
    <row r="420" spans="1:20" s="5" customFormat="1" x14ac:dyDescent="0.25">
      <c r="A420" t="s">
        <v>1060</v>
      </c>
      <c r="B420">
        <v>965</v>
      </c>
      <c r="C420" t="s">
        <v>1061</v>
      </c>
      <c r="D420" s="10">
        <v>-960573.68</v>
      </c>
      <c r="E420"/>
      <c r="F420" s="10">
        <v>0</v>
      </c>
      <c r="G420"/>
      <c r="H420" s="10">
        <v>-159600.67000000001</v>
      </c>
      <c r="I420"/>
      <c r="J420" s="10">
        <v>-1120174.3500000001</v>
      </c>
      <c r="K420"/>
      <c r="L420" s="1">
        <f t="shared" si="6"/>
        <v>-1120174.3500000001</v>
      </c>
      <c r="N420" s="6" t="str">
        <f>IF(ISERROR(VLOOKUP($A420,'Plano de Contas'!#REF!,8,FALSE)),"",VLOOKUP($A420,'Plano de Contas'!#REF!,8,FALSE))</f>
        <v/>
      </c>
      <c r="P420" s="6" t="str">
        <f>IF(ISERROR(VLOOKUP($A420,'Plano de Contas'!#REF!,10,FALSE)),"",VLOOKUP($A420,'Plano de Contas'!#REF!,10,FALSE))</f>
        <v/>
      </c>
      <c r="R420" s="6" t="e">
        <f>VLOOKUP(A420,'Plano de Contas'!#REF!,12,FALSE)</f>
        <v>#REF!</v>
      </c>
      <c r="T420" s="6" t="e">
        <f>VLOOKUP(A420,'Plano de Contas'!#REF!,13,FALSE)</f>
        <v>#REF!</v>
      </c>
    </row>
    <row r="421" spans="1:20" s="5" customFormat="1" x14ac:dyDescent="0.25">
      <c r="A421" t="s">
        <v>1225</v>
      </c>
      <c r="B421">
        <v>1067</v>
      </c>
      <c r="C421" t="s">
        <v>1226</v>
      </c>
      <c r="D421" s="10">
        <v>-8740.08</v>
      </c>
      <c r="E421"/>
      <c r="F421" s="10">
        <v>0</v>
      </c>
      <c r="G421"/>
      <c r="H421" s="10">
        <v>-3398.92</v>
      </c>
      <c r="I421"/>
      <c r="J421" s="10">
        <v>-12139</v>
      </c>
      <c r="K421"/>
      <c r="L421" s="1">
        <f t="shared" si="6"/>
        <v>-12139</v>
      </c>
      <c r="N421" s="6" t="str">
        <f>IF(ISERROR(VLOOKUP($A421,'Plano de Contas'!#REF!,8,FALSE)),"",VLOOKUP($A421,'Plano de Contas'!#REF!,8,FALSE))</f>
        <v/>
      </c>
      <c r="P421" s="6" t="str">
        <f>IF(ISERROR(VLOOKUP($A421,'Plano de Contas'!#REF!,10,FALSE)),"",VLOOKUP($A421,'Plano de Contas'!#REF!,10,FALSE))</f>
        <v/>
      </c>
      <c r="R421" s="6" t="e">
        <f>VLOOKUP(A421,'Plano de Contas'!#REF!,12,FALSE)</f>
        <v>#REF!</v>
      </c>
      <c r="T421" s="6" t="e">
        <f>VLOOKUP(A421,'Plano de Contas'!#REF!,13,FALSE)</f>
        <v>#REF!</v>
      </c>
    </row>
    <row r="422" spans="1:20" s="5" customFormat="1" x14ac:dyDescent="0.25">
      <c r="A422"/>
      <c r="B422"/>
      <c r="C422"/>
      <c r="D422" s="10"/>
      <c r="E422"/>
      <c r="F422" s="10"/>
      <c r="G422"/>
      <c r="H422" s="10"/>
      <c r="I422"/>
      <c r="J422" s="10"/>
      <c r="K422"/>
      <c r="L422" s="1">
        <f t="shared" si="6"/>
        <v>0</v>
      </c>
      <c r="N422" s="6" t="str">
        <f>IF(ISERROR(VLOOKUP($A422,'Plano de Contas'!#REF!,8,FALSE)),"",VLOOKUP($A422,'Plano de Contas'!#REF!,8,FALSE))</f>
        <v/>
      </c>
      <c r="P422" s="6" t="str">
        <f>IF(ISERROR(VLOOKUP($A422,'Plano de Contas'!#REF!,10,FALSE)),"",VLOOKUP($A422,'Plano de Contas'!#REF!,10,FALSE))</f>
        <v/>
      </c>
      <c r="R422" s="6" t="e">
        <f>VLOOKUP(A422,'Plano de Contas'!#REF!,12,FALSE)</f>
        <v>#REF!</v>
      </c>
      <c r="T422" s="6" t="e">
        <f>VLOOKUP(A422,'Plano de Contas'!#REF!,13,FALSE)</f>
        <v>#REF!</v>
      </c>
    </row>
    <row r="423" spans="1:20" s="5" customFormat="1" x14ac:dyDescent="0.25">
      <c r="A423" t="s">
        <v>751</v>
      </c>
      <c r="B423">
        <v>205</v>
      </c>
      <c r="C423" t="s">
        <v>752</v>
      </c>
      <c r="D423" s="10">
        <v>16375587.029999999</v>
      </c>
      <c r="E423"/>
      <c r="F423" s="10">
        <v>1735291.14</v>
      </c>
      <c r="G423"/>
      <c r="H423" s="10">
        <v>11526.52</v>
      </c>
      <c r="I423" t="s">
        <v>35</v>
      </c>
      <c r="J423" s="10">
        <v>18099351.649999999</v>
      </c>
      <c r="K423"/>
      <c r="L423" s="1">
        <f t="shared" si="6"/>
        <v>18099351.649999999</v>
      </c>
      <c r="N423" s="6" t="str">
        <f>IF(ISERROR(VLOOKUP($A423,'Plano de Contas'!#REF!,8,FALSE)),"",VLOOKUP($A423,'Plano de Contas'!#REF!,8,FALSE))</f>
        <v/>
      </c>
      <c r="P423" s="6" t="str">
        <f>IF(ISERROR(VLOOKUP($A423,'Plano de Contas'!#REF!,10,FALSE)),"",VLOOKUP($A423,'Plano de Contas'!#REF!,10,FALSE))</f>
        <v/>
      </c>
      <c r="R423" s="6" t="e">
        <f>VLOOKUP(A423,'Plano de Contas'!#REF!,12,FALSE)</f>
        <v>#REF!</v>
      </c>
      <c r="T423" s="6" t="e">
        <f>VLOOKUP(A423,'Plano de Contas'!#REF!,13,FALSE)</f>
        <v>#REF!</v>
      </c>
    </row>
    <row r="424" spans="1:20" s="5" customFormat="1" x14ac:dyDescent="0.25">
      <c r="A424" t="s">
        <v>753</v>
      </c>
      <c r="B424">
        <v>206</v>
      </c>
      <c r="C424" t="s">
        <v>754</v>
      </c>
      <c r="D424" s="10">
        <v>2225316.25</v>
      </c>
      <c r="E424"/>
      <c r="F424" s="10">
        <v>233845.17</v>
      </c>
      <c r="G424"/>
      <c r="H424" s="10">
        <v>1373.31</v>
      </c>
      <c r="I424" t="s">
        <v>35</v>
      </c>
      <c r="J424" s="10">
        <v>2457788.11</v>
      </c>
      <c r="K424"/>
      <c r="L424" s="1">
        <f t="shared" si="6"/>
        <v>2457788.11</v>
      </c>
      <c r="N424" s="6" t="str">
        <f>IF(ISERROR(VLOOKUP($A424,'Plano de Contas'!#REF!,8,FALSE)),"",VLOOKUP($A424,'Plano de Contas'!#REF!,8,FALSE))</f>
        <v/>
      </c>
      <c r="P424" s="6" t="str">
        <f>IF(ISERROR(VLOOKUP($A424,'Plano de Contas'!#REF!,10,FALSE)),"",VLOOKUP($A424,'Plano de Contas'!#REF!,10,FALSE))</f>
        <v/>
      </c>
      <c r="R424" s="6" t="e">
        <f>VLOOKUP(A424,'Plano de Contas'!#REF!,12,FALSE)</f>
        <v>#REF!</v>
      </c>
      <c r="T424" s="6" t="e">
        <f>VLOOKUP(A424,'Plano de Contas'!#REF!,13,FALSE)</f>
        <v>#REF!</v>
      </c>
    </row>
    <row r="425" spans="1:20" s="5" customFormat="1" x14ac:dyDescent="0.25">
      <c r="A425" t="s">
        <v>755</v>
      </c>
      <c r="B425">
        <v>207</v>
      </c>
      <c r="C425" t="s">
        <v>554</v>
      </c>
      <c r="D425" s="10">
        <v>10249949.49</v>
      </c>
      <c r="E425"/>
      <c r="F425" s="10">
        <v>1077104.78</v>
      </c>
      <c r="G425"/>
      <c r="H425" s="10">
        <v>6325.53</v>
      </c>
      <c r="I425" t="s">
        <v>35</v>
      </c>
      <c r="J425" s="10">
        <v>11320728.74</v>
      </c>
      <c r="K425"/>
      <c r="L425" s="1">
        <f t="shared" si="6"/>
        <v>11320728.74</v>
      </c>
      <c r="N425" s="6" t="str">
        <f>IF(ISERROR(VLOOKUP($A425,'Plano de Contas'!#REF!,8,FALSE)),"",VLOOKUP($A425,'Plano de Contas'!#REF!,8,FALSE))</f>
        <v/>
      </c>
      <c r="P425" s="6" t="str">
        <f>IF(ISERROR(VLOOKUP($A425,'Plano de Contas'!#REF!,10,FALSE)),"",VLOOKUP($A425,'Plano de Contas'!#REF!,10,FALSE))</f>
        <v/>
      </c>
      <c r="R425" s="6" t="e">
        <f>VLOOKUP(A425,'Plano de Contas'!#REF!,12,FALSE)</f>
        <v>#REF!</v>
      </c>
      <c r="T425" s="6" t="e">
        <f>VLOOKUP(A425,'Plano de Contas'!#REF!,13,FALSE)</f>
        <v>#REF!</v>
      </c>
    </row>
    <row r="426" spans="1:20" s="5" customFormat="1" x14ac:dyDescent="0.25">
      <c r="A426" t="s">
        <v>756</v>
      </c>
      <c r="B426">
        <v>208</v>
      </c>
      <c r="C426" t="s">
        <v>757</v>
      </c>
      <c r="D426" s="10">
        <v>3083036.02</v>
      </c>
      <c r="E426"/>
      <c r="F426" s="10">
        <v>341110.51</v>
      </c>
      <c r="G426"/>
      <c r="H426" s="10">
        <v>3827.68</v>
      </c>
      <c r="I426" t="s">
        <v>35</v>
      </c>
      <c r="J426" s="10">
        <v>3420318.85</v>
      </c>
      <c r="K426"/>
      <c r="L426" s="1">
        <f t="shared" si="6"/>
        <v>3420318.85</v>
      </c>
      <c r="N426" s="6" t="str">
        <f>IF(ISERROR(VLOOKUP($A426,'Plano de Contas'!#REF!,8,FALSE)),"",VLOOKUP($A426,'Plano de Contas'!#REF!,8,FALSE))</f>
        <v/>
      </c>
      <c r="P426" s="6" t="str">
        <f>IF(ISERROR(VLOOKUP($A426,'Plano de Contas'!#REF!,10,FALSE)),"",VLOOKUP($A426,'Plano de Contas'!#REF!,10,FALSE))</f>
        <v/>
      </c>
      <c r="R426" s="6" t="e">
        <f>VLOOKUP(A426,'Plano de Contas'!#REF!,12,FALSE)</f>
        <v>#REF!</v>
      </c>
      <c r="T426" s="6" t="e">
        <f>VLOOKUP(A426,'Plano de Contas'!#REF!,13,FALSE)</f>
        <v>#REF!</v>
      </c>
    </row>
    <row r="427" spans="1:20" s="5" customFormat="1" x14ac:dyDescent="0.25">
      <c r="A427" t="s">
        <v>758</v>
      </c>
      <c r="B427">
        <v>332</v>
      </c>
      <c r="C427" t="s">
        <v>759</v>
      </c>
      <c r="D427" s="10">
        <v>817285.27</v>
      </c>
      <c r="E427"/>
      <c r="F427" s="10">
        <v>83230.679999999993</v>
      </c>
      <c r="G427"/>
      <c r="H427" s="10">
        <v>0</v>
      </c>
      <c r="I427"/>
      <c r="J427" s="10">
        <v>900515.95</v>
      </c>
      <c r="K427"/>
      <c r="L427" s="1">
        <f t="shared" si="6"/>
        <v>900515.95</v>
      </c>
      <c r="N427" s="6" t="str">
        <f>IF(ISERROR(VLOOKUP($A427,'Plano de Contas'!#REF!,8,FALSE)),"",VLOOKUP($A427,'Plano de Contas'!#REF!,8,FALSE))</f>
        <v/>
      </c>
      <c r="P427" s="6" t="str">
        <f>IF(ISERROR(VLOOKUP($A427,'Plano de Contas'!#REF!,10,FALSE)),"",VLOOKUP($A427,'Plano de Contas'!#REF!,10,FALSE))</f>
        <v/>
      </c>
      <c r="R427" s="6" t="e">
        <f>VLOOKUP(A427,'Plano de Contas'!#REF!,12,FALSE)</f>
        <v>#REF!</v>
      </c>
      <c r="T427" s="6" t="e">
        <f>VLOOKUP(A427,'Plano de Contas'!#REF!,13,FALSE)</f>
        <v>#REF!</v>
      </c>
    </row>
    <row r="428" spans="1:20" s="5" customFormat="1" x14ac:dyDescent="0.25">
      <c r="A428"/>
      <c r="B428"/>
      <c r="C428"/>
      <c r="D428" s="10"/>
      <c r="E428"/>
      <c r="F428" s="10"/>
      <c r="G428"/>
      <c r="H428" s="10"/>
      <c r="I428"/>
      <c r="J428" s="10"/>
      <c r="K428"/>
      <c r="L428" s="1">
        <f t="shared" si="6"/>
        <v>0</v>
      </c>
      <c r="N428" s="6" t="str">
        <f>IF(ISERROR(VLOOKUP($A428,'Plano de Contas'!#REF!,8,FALSE)),"",VLOOKUP($A428,'Plano de Contas'!#REF!,8,FALSE))</f>
        <v/>
      </c>
      <c r="P428" s="6" t="str">
        <f>IF(ISERROR(VLOOKUP($A428,'Plano de Contas'!#REF!,10,FALSE)),"",VLOOKUP($A428,'Plano de Contas'!#REF!,10,FALSE))</f>
        <v/>
      </c>
      <c r="R428" s="6" t="e">
        <f>VLOOKUP(A428,'Plano de Contas'!#REF!,12,FALSE)</f>
        <v>#REF!</v>
      </c>
      <c r="T428" s="6" t="e">
        <f>VLOOKUP(A428,'Plano de Contas'!#REF!,13,FALSE)</f>
        <v>#REF!</v>
      </c>
    </row>
    <row r="429" spans="1:20" s="5" customFormat="1" x14ac:dyDescent="0.25">
      <c r="A429" t="s">
        <v>762</v>
      </c>
      <c r="B429">
        <v>209</v>
      </c>
      <c r="C429" t="s">
        <v>763</v>
      </c>
      <c r="D429" s="10">
        <v>96339107.230000004</v>
      </c>
      <c r="E429"/>
      <c r="F429" s="10">
        <v>22304658.030000001</v>
      </c>
      <c r="G429"/>
      <c r="H429" s="10">
        <v>4229787.45</v>
      </c>
      <c r="I429" t="s">
        <v>35</v>
      </c>
      <c r="J429" s="10">
        <v>114413977.81</v>
      </c>
      <c r="K429"/>
      <c r="L429" s="1">
        <f t="shared" si="6"/>
        <v>114413977.81</v>
      </c>
      <c r="N429" s="6" t="str">
        <f>IF(ISERROR(VLOOKUP($A429,'Plano de Contas'!#REF!,8,FALSE)),"",VLOOKUP($A429,'Plano de Contas'!#REF!,8,FALSE))</f>
        <v/>
      </c>
      <c r="P429" s="6" t="str">
        <f>IF(ISERROR(VLOOKUP($A429,'Plano de Contas'!#REF!,10,FALSE)),"",VLOOKUP($A429,'Plano de Contas'!#REF!,10,FALSE))</f>
        <v/>
      </c>
      <c r="R429" s="6" t="e">
        <f>VLOOKUP(A429,'Plano de Contas'!#REF!,12,FALSE)</f>
        <v>#REF!</v>
      </c>
      <c r="T429" s="6" t="e">
        <f>VLOOKUP(A429,'Plano de Contas'!#REF!,13,FALSE)</f>
        <v>#REF!</v>
      </c>
    </row>
    <row r="430" spans="1:20" s="5" customFormat="1" x14ac:dyDescent="0.25">
      <c r="A430"/>
      <c r="B430"/>
      <c r="C430"/>
      <c r="D430" s="10"/>
      <c r="E430"/>
      <c r="F430" s="10"/>
      <c r="G430"/>
      <c r="H430" s="10"/>
      <c r="I430"/>
      <c r="J430" s="10"/>
      <c r="K430"/>
      <c r="L430" s="1">
        <f t="shared" si="6"/>
        <v>0</v>
      </c>
      <c r="N430" s="6" t="str">
        <f>IF(ISERROR(VLOOKUP($A430,'Plano de Contas'!#REF!,8,FALSE)),"",VLOOKUP($A430,'Plano de Contas'!#REF!,8,FALSE))</f>
        <v/>
      </c>
      <c r="P430" s="6" t="str">
        <f>IF(ISERROR(VLOOKUP($A430,'Plano de Contas'!#REF!,10,FALSE)),"",VLOOKUP($A430,'Plano de Contas'!#REF!,10,FALSE))</f>
        <v/>
      </c>
      <c r="R430" s="6" t="e">
        <f>VLOOKUP(A430,'Plano de Contas'!#REF!,12,FALSE)</f>
        <v>#REF!</v>
      </c>
      <c r="T430" s="6" t="e">
        <f>VLOOKUP(A430,'Plano de Contas'!#REF!,13,FALSE)</f>
        <v>#REF!</v>
      </c>
    </row>
    <row r="431" spans="1:20" s="5" customFormat="1" x14ac:dyDescent="0.25">
      <c r="A431" t="s">
        <v>764</v>
      </c>
      <c r="B431">
        <v>210</v>
      </c>
      <c r="C431" t="s">
        <v>765</v>
      </c>
      <c r="D431" s="10">
        <v>1377752.89</v>
      </c>
      <c r="E431"/>
      <c r="F431" s="10">
        <v>125128.67</v>
      </c>
      <c r="G431"/>
      <c r="H431" s="10">
        <v>0</v>
      </c>
      <c r="I431"/>
      <c r="J431" s="10">
        <v>1502881.56</v>
      </c>
      <c r="K431"/>
      <c r="L431" s="1">
        <f t="shared" si="6"/>
        <v>1502881.56</v>
      </c>
      <c r="N431" s="6" t="str">
        <f>IF(ISERROR(VLOOKUP($A431,'Plano de Contas'!#REF!,8,FALSE)),"",VLOOKUP($A431,'Plano de Contas'!#REF!,8,FALSE))</f>
        <v/>
      </c>
      <c r="P431" s="6" t="str">
        <f>IF(ISERROR(VLOOKUP($A431,'Plano de Contas'!#REF!,10,FALSE)),"",VLOOKUP($A431,'Plano de Contas'!#REF!,10,FALSE))</f>
        <v/>
      </c>
      <c r="R431" s="6" t="e">
        <f>VLOOKUP(A431,'Plano de Contas'!#REF!,12,FALSE)</f>
        <v>#REF!</v>
      </c>
      <c r="T431" s="6" t="e">
        <f>VLOOKUP(A431,'Plano de Contas'!#REF!,13,FALSE)</f>
        <v>#REF!</v>
      </c>
    </row>
    <row r="432" spans="1:20" s="5" customFormat="1" x14ac:dyDescent="0.25">
      <c r="A432" t="s">
        <v>766</v>
      </c>
      <c r="B432">
        <v>212</v>
      </c>
      <c r="C432" t="s">
        <v>767</v>
      </c>
      <c r="D432" s="10">
        <v>98552.89</v>
      </c>
      <c r="E432"/>
      <c r="F432" s="10">
        <v>10000.67</v>
      </c>
      <c r="G432"/>
      <c r="H432" s="10">
        <v>0</v>
      </c>
      <c r="I432"/>
      <c r="J432" s="10">
        <v>108553.56</v>
      </c>
      <c r="K432"/>
      <c r="L432" s="1">
        <f t="shared" si="6"/>
        <v>108553.56</v>
      </c>
      <c r="N432" s="6" t="str">
        <f>IF(ISERROR(VLOOKUP($A432,'Plano de Contas'!#REF!,8,FALSE)),"",VLOOKUP($A432,'Plano de Contas'!#REF!,8,FALSE))</f>
        <v/>
      </c>
      <c r="P432" s="6" t="str">
        <f>IF(ISERROR(VLOOKUP($A432,'Plano de Contas'!#REF!,10,FALSE)),"",VLOOKUP($A432,'Plano de Contas'!#REF!,10,FALSE))</f>
        <v/>
      </c>
      <c r="R432" s="6" t="e">
        <f>VLOOKUP(A432,'Plano de Contas'!#REF!,12,FALSE)</f>
        <v>#REF!</v>
      </c>
      <c r="T432" s="6" t="e">
        <f>VLOOKUP(A432,'Plano de Contas'!#REF!,13,FALSE)</f>
        <v>#REF!</v>
      </c>
    </row>
    <row r="433" spans="1:20" s="5" customFormat="1" x14ac:dyDescent="0.25">
      <c r="A433" t="s">
        <v>768</v>
      </c>
      <c r="B433">
        <v>217</v>
      </c>
      <c r="C433" t="s">
        <v>769</v>
      </c>
      <c r="D433" s="10">
        <v>1279200</v>
      </c>
      <c r="E433"/>
      <c r="F433" s="10">
        <v>115128</v>
      </c>
      <c r="G433"/>
      <c r="H433" s="10">
        <v>0</v>
      </c>
      <c r="I433"/>
      <c r="J433" s="10">
        <v>1394328</v>
      </c>
      <c r="K433"/>
      <c r="L433" s="1">
        <f t="shared" si="6"/>
        <v>1394328</v>
      </c>
      <c r="N433" s="6" t="str">
        <f>IF(ISERROR(VLOOKUP($A433,'Plano de Contas'!#REF!,8,FALSE)),"",VLOOKUP($A433,'Plano de Contas'!#REF!,8,FALSE))</f>
        <v/>
      </c>
      <c r="P433" s="6" t="str">
        <f>IF(ISERROR(VLOOKUP($A433,'Plano de Contas'!#REF!,10,FALSE)),"",VLOOKUP($A433,'Plano de Contas'!#REF!,10,FALSE))</f>
        <v/>
      </c>
      <c r="R433" s="6" t="e">
        <f>VLOOKUP(A433,'Plano de Contas'!#REF!,12,FALSE)</f>
        <v>#REF!</v>
      </c>
      <c r="T433" s="6" t="e">
        <f>VLOOKUP(A433,'Plano de Contas'!#REF!,13,FALSE)</f>
        <v>#REF!</v>
      </c>
    </row>
    <row r="434" spans="1:20" s="5" customFormat="1" x14ac:dyDescent="0.25">
      <c r="A434"/>
      <c r="B434"/>
      <c r="C434"/>
      <c r="D434" s="10"/>
      <c r="E434"/>
      <c r="F434" s="10"/>
      <c r="G434"/>
      <c r="H434" s="10"/>
      <c r="I434"/>
      <c r="J434" s="10"/>
      <c r="K434"/>
      <c r="L434" s="1">
        <f t="shared" si="6"/>
        <v>0</v>
      </c>
      <c r="N434" s="6" t="str">
        <f>IF(ISERROR(VLOOKUP($A434,'Plano de Contas'!#REF!,8,FALSE)),"",VLOOKUP($A434,'Plano de Contas'!#REF!,8,FALSE))</f>
        <v/>
      </c>
      <c r="P434" s="6" t="str">
        <f>IF(ISERROR(VLOOKUP($A434,'Plano de Contas'!#REF!,10,FALSE)),"",VLOOKUP($A434,'Plano de Contas'!#REF!,10,FALSE))</f>
        <v/>
      </c>
      <c r="R434" s="6" t="e">
        <f>VLOOKUP(A434,'Plano de Contas'!#REF!,12,FALSE)</f>
        <v>#REF!</v>
      </c>
      <c r="T434" s="6" t="e">
        <f>VLOOKUP(A434,'Plano de Contas'!#REF!,13,FALSE)</f>
        <v>#REF!</v>
      </c>
    </row>
    <row r="435" spans="1:20" s="5" customFormat="1" x14ac:dyDescent="0.25">
      <c r="A435" t="s">
        <v>770</v>
      </c>
      <c r="B435">
        <v>221</v>
      </c>
      <c r="C435" t="s">
        <v>771</v>
      </c>
      <c r="D435" s="10">
        <v>38385667.689999998</v>
      </c>
      <c r="E435"/>
      <c r="F435" s="10">
        <v>3795974.37</v>
      </c>
      <c r="G435"/>
      <c r="H435" s="10">
        <v>423317.69</v>
      </c>
      <c r="I435" t="s">
        <v>35</v>
      </c>
      <c r="J435" s="10">
        <v>41758324.369999997</v>
      </c>
      <c r="K435"/>
      <c r="L435" s="1">
        <f t="shared" si="6"/>
        <v>41758324.369999997</v>
      </c>
      <c r="N435" s="6" t="str">
        <f>IF(ISERROR(VLOOKUP($A435,'Plano de Contas'!#REF!,8,FALSE)),"",VLOOKUP($A435,'Plano de Contas'!#REF!,8,FALSE))</f>
        <v/>
      </c>
      <c r="P435" s="6" t="str">
        <f>IF(ISERROR(VLOOKUP($A435,'Plano de Contas'!#REF!,10,FALSE)),"",VLOOKUP($A435,'Plano de Contas'!#REF!,10,FALSE))</f>
        <v/>
      </c>
      <c r="R435" s="6" t="e">
        <f>VLOOKUP(A435,'Plano de Contas'!#REF!,12,FALSE)</f>
        <v>#REF!</v>
      </c>
      <c r="T435" s="6" t="e">
        <f>VLOOKUP(A435,'Plano de Contas'!#REF!,13,FALSE)</f>
        <v>#REF!</v>
      </c>
    </row>
    <row r="436" spans="1:20" s="5" customFormat="1" x14ac:dyDescent="0.25">
      <c r="A436" t="s">
        <v>772</v>
      </c>
      <c r="B436">
        <v>222</v>
      </c>
      <c r="C436" t="s">
        <v>773</v>
      </c>
      <c r="D436" s="10">
        <v>11734426.41</v>
      </c>
      <c r="E436"/>
      <c r="F436" s="10">
        <v>1178363.1499999999</v>
      </c>
      <c r="G436"/>
      <c r="H436" s="10">
        <v>-16380.75</v>
      </c>
      <c r="I436"/>
      <c r="J436" s="10">
        <v>12896408.810000001</v>
      </c>
      <c r="K436"/>
      <c r="L436" s="1">
        <f t="shared" si="6"/>
        <v>12896408.810000001</v>
      </c>
      <c r="N436" s="6" t="str">
        <f>IF(ISERROR(VLOOKUP($A436,'Plano de Contas'!#REF!,8,FALSE)),"",VLOOKUP($A436,'Plano de Contas'!#REF!,8,FALSE))</f>
        <v/>
      </c>
      <c r="P436" s="6" t="str">
        <f>IF(ISERROR(VLOOKUP($A436,'Plano de Contas'!#REF!,10,FALSE)),"",VLOOKUP($A436,'Plano de Contas'!#REF!,10,FALSE))</f>
        <v/>
      </c>
      <c r="R436" s="6" t="e">
        <f>VLOOKUP(A436,'Plano de Contas'!#REF!,12,FALSE)</f>
        <v>#REF!</v>
      </c>
      <c r="T436" s="6" t="e">
        <f>VLOOKUP(A436,'Plano de Contas'!#REF!,13,FALSE)</f>
        <v>#REF!</v>
      </c>
    </row>
    <row r="437" spans="1:20" s="5" customFormat="1" x14ac:dyDescent="0.25">
      <c r="A437" t="s">
        <v>774</v>
      </c>
      <c r="B437">
        <v>223</v>
      </c>
      <c r="C437" t="s">
        <v>775</v>
      </c>
      <c r="D437" s="10">
        <v>516335.03</v>
      </c>
      <c r="E437"/>
      <c r="F437" s="10">
        <v>0</v>
      </c>
      <c r="G437"/>
      <c r="H437" s="10">
        <v>0</v>
      </c>
      <c r="I437"/>
      <c r="J437" s="10">
        <v>516335.03</v>
      </c>
      <c r="K437"/>
      <c r="L437" s="1">
        <f t="shared" si="6"/>
        <v>516335.03</v>
      </c>
      <c r="N437" s="6" t="str">
        <f>IF(ISERROR(VLOOKUP($A437,'Plano de Contas'!#REF!,8,FALSE)),"",VLOOKUP($A437,'Plano de Contas'!#REF!,8,FALSE))</f>
        <v/>
      </c>
      <c r="P437" s="6" t="str">
        <f>IF(ISERROR(VLOOKUP($A437,'Plano de Contas'!#REF!,10,FALSE)),"",VLOOKUP($A437,'Plano de Contas'!#REF!,10,FALSE))</f>
        <v/>
      </c>
      <c r="R437" s="6" t="e">
        <f>VLOOKUP(A437,'Plano de Contas'!#REF!,12,FALSE)</f>
        <v>#REF!</v>
      </c>
      <c r="T437" s="6" t="e">
        <f>VLOOKUP(A437,'Plano de Contas'!#REF!,13,FALSE)</f>
        <v>#REF!</v>
      </c>
    </row>
    <row r="438" spans="1:20" s="5" customFormat="1" x14ac:dyDescent="0.25">
      <c r="A438" t="s">
        <v>776</v>
      </c>
      <c r="B438">
        <v>224</v>
      </c>
      <c r="C438" t="s">
        <v>777</v>
      </c>
      <c r="D438" s="10">
        <v>2767925.7</v>
      </c>
      <c r="E438"/>
      <c r="F438" s="10">
        <v>203327.66</v>
      </c>
      <c r="G438"/>
      <c r="H438" s="10">
        <v>0</v>
      </c>
      <c r="I438"/>
      <c r="J438" s="10">
        <v>2971253.36</v>
      </c>
      <c r="K438"/>
      <c r="L438" s="1">
        <f t="shared" si="6"/>
        <v>2971253.36</v>
      </c>
      <c r="N438" s="6" t="str">
        <f>IF(ISERROR(VLOOKUP($A438,'Plano de Contas'!#REF!,8,FALSE)),"",VLOOKUP($A438,'Plano de Contas'!#REF!,8,FALSE))</f>
        <v/>
      </c>
      <c r="P438" s="6" t="str">
        <f>IF(ISERROR(VLOOKUP($A438,'Plano de Contas'!#REF!,10,FALSE)),"",VLOOKUP($A438,'Plano de Contas'!#REF!,10,FALSE))</f>
        <v/>
      </c>
      <c r="R438" s="6" t="e">
        <f>VLOOKUP(A438,'Plano de Contas'!#REF!,12,FALSE)</f>
        <v>#REF!</v>
      </c>
      <c r="T438" s="6" t="e">
        <f>VLOOKUP(A438,'Plano de Contas'!#REF!,13,FALSE)</f>
        <v>#REF!</v>
      </c>
    </row>
    <row r="439" spans="1:20" s="5" customFormat="1" x14ac:dyDescent="0.25">
      <c r="A439" t="s">
        <v>778</v>
      </c>
      <c r="B439">
        <v>225</v>
      </c>
      <c r="C439" t="s">
        <v>779</v>
      </c>
      <c r="D439" s="10">
        <v>1897206.76</v>
      </c>
      <c r="E439"/>
      <c r="F439" s="10">
        <v>244764.75</v>
      </c>
      <c r="G439"/>
      <c r="H439" s="10">
        <v>-112321.44</v>
      </c>
      <c r="I439"/>
      <c r="J439" s="10">
        <v>2029650.07</v>
      </c>
      <c r="K439"/>
      <c r="L439" s="1">
        <f t="shared" si="6"/>
        <v>2029650.07</v>
      </c>
      <c r="N439" s="6" t="str">
        <f>IF(ISERROR(VLOOKUP($A439,'Plano de Contas'!#REF!,8,FALSE)),"",VLOOKUP($A439,'Plano de Contas'!#REF!,8,FALSE))</f>
        <v/>
      </c>
      <c r="P439" s="6" t="str">
        <f>IF(ISERROR(VLOOKUP($A439,'Plano de Contas'!#REF!,10,FALSE)),"",VLOOKUP($A439,'Plano de Contas'!#REF!,10,FALSE))</f>
        <v/>
      </c>
      <c r="R439" s="6" t="e">
        <f>VLOOKUP(A439,'Plano de Contas'!#REF!,12,FALSE)</f>
        <v>#REF!</v>
      </c>
      <c r="T439" s="6" t="e">
        <f>VLOOKUP(A439,'Plano de Contas'!#REF!,13,FALSE)</f>
        <v>#REF!</v>
      </c>
    </row>
    <row r="440" spans="1:20" s="5" customFormat="1" x14ac:dyDescent="0.25">
      <c r="A440" t="s">
        <v>780</v>
      </c>
      <c r="B440">
        <v>226</v>
      </c>
      <c r="C440" t="s">
        <v>769</v>
      </c>
      <c r="D440" s="10">
        <v>5964498.6600000001</v>
      </c>
      <c r="E440"/>
      <c r="F440" s="10">
        <v>669751.36</v>
      </c>
      <c r="G440"/>
      <c r="H440" s="10">
        <v>-115128</v>
      </c>
      <c r="I440"/>
      <c r="J440" s="10">
        <v>6519122.0199999996</v>
      </c>
      <c r="K440"/>
      <c r="L440" s="1">
        <f t="shared" si="6"/>
        <v>6519122.0199999996</v>
      </c>
      <c r="N440" s="6" t="str">
        <f>IF(ISERROR(VLOOKUP($A440,'Plano de Contas'!#REF!,8,FALSE)),"",VLOOKUP($A440,'Plano de Contas'!#REF!,8,FALSE))</f>
        <v/>
      </c>
      <c r="P440" s="6" t="str">
        <f>IF(ISERROR(VLOOKUP($A440,'Plano de Contas'!#REF!,10,FALSE)),"",VLOOKUP($A440,'Plano de Contas'!#REF!,10,FALSE))</f>
        <v/>
      </c>
      <c r="R440" s="6" t="e">
        <f>VLOOKUP(A440,'Plano de Contas'!#REF!,12,FALSE)</f>
        <v>#REF!</v>
      </c>
      <c r="T440" s="6" t="e">
        <f>VLOOKUP(A440,'Plano de Contas'!#REF!,13,FALSE)</f>
        <v>#REF!</v>
      </c>
    </row>
    <row r="441" spans="1:20" s="5" customFormat="1" x14ac:dyDescent="0.25">
      <c r="A441" t="s">
        <v>783</v>
      </c>
      <c r="B441">
        <v>228</v>
      </c>
      <c r="C441" t="s">
        <v>540</v>
      </c>
      <c r="D441" s="10">
        <v>6475642.0800000001</v>
      </c>
      <c r="E441"/>
      <c r="F441" s="10">
        <v>595325.49</v>
      </c>
      <c r="G441"/>
      <c r="H441" s="10">
        <v>23030.7</v>
      </c>
      <c r="I441" t="s">
        <v>35</v>
      </c>
      <c r="J441" s="10">
        <v>7047936.8700000001</v>
      </c>
      <c r="K441"/>
      <c r="L441" s="1">
        <f t="shared" si="6"/>
        <v>7047936.8700000001</v>
      </c>
      <c r="N441" s="6" t="str">
        <f>IF(ISERROR(VLOOKUP($A441,'Plano de Contas'!#REF!,8,FALSE)),"",VLOOKUP($A441,'Plano de Contas'!#REF!,8,FALSE))</f>
        <v/>
      </c>
      <c r="P441" s="6" t="str">
        <f>IF(ISERROR(VLOOKUP($A441,'Plano de Contas'!#REF!,10,FALSE)),"",VLOOKUP($A441,'Plano de Contas'!#REF!,10,FALSE))</f>
        <v/>
      </c>
      <c r="R441" s="6" t="e">
        <f>VLOOKUP(A441,'Plano de Contas'!#REF!,12,FALSE)</f>
        <v>#REF!</v>
      </c>
      <c r="T441" s="6" t="e">
        <f>VLOOKUP(A441,'Plano de Contas'!#REF!,13,FALSE)</f>
        <v>#REF!</v>
      </c>
    </row>
    <row r="442" spans="1:20" s="5" customFormat="1" x14ac:dyDescent="0.25">
      <c r="A442" t="s">
        <v>784</v>
      </c>
      <c r="B442">
        <v>229</v>
      </c>
      <c r="C442" t="s">
        <v>785</v>
      </c>
      <c r="D442" s="10">
        <v>1940812.64</v>
      </c>
      <c r="E442"/>
      <c r="F442" s="10">
        <v>176032.44</v>
      </c>
      <c r="G442"/>
      <c r="H442" s="10">
        <v>65142.2</v>
      </c>
      <c r="I442" t="s">
        <v>35</v>
      </c>
      <c r="J442" s="10">
        <v>2051702.88</v>
      </c>
      <c r="K442"/>
      <c r="L442" s="1">
        <f t="shared" si="6"/>
        <v>2051702.88</v>
      </c>
      <c r="N442" s="6" t="str">
        <f>IF(ISERROR(VLOOKUP($A442,'Plano de Contas'!#REF!,8,FALSE)),"",VLOOKUP($A442,'Plano de Contas'!#REF!,8,FALSE))</f>
        <v/>
      </c>
      <c r="P442" s="6" t="str">
        <f>IF(ISERROR(VLOOKUP($A442,'Plano de Contas'!#REF!,10,FALSE)),"",VLOOKUP($A442,'Plano de Contas'!#REF!,10,FALSE))</f>
        <v/>
      </c>
      <c r="R442" s="6" t="e">
        <f>VLOOKUP(A442,'Plano de Contas'!#REF!,12,FALSE)</f>
        <v>#REF!</v>
      </c>
      <c r="T442" s="6" t="e">
        <f>VLOOKUP(A442,'Plano de Contas'!#REF!,13,FALSE)</f>
        <v>#REF!</v>
      </c>
    </row>
    <row r="443" spans="1:20" s="5" customFormat="1" x14ac:dyDescent="0.25">
      <c r="A443" t="s">
        <v>786</v>
      </c>
      <c r="B443">
        <v>230</v>
      </c>
      <c r="C443" t="s">
        <v>787</v>
      </c>
      <c r="D443" s="10">
        <v>43440</v>
      </c>
      <c r="E443"/>
      <c r="F443" s="10">
        <v>0</v>
      </c>
      <c r="G443"/>
      <c r="H443" s="10">
        <v>0</v>
      </c>
      <c r="I443"/>
      <c r="J443" s="10">
        <v>43440</v>
      </c>
      <c r="K443"/>
      <c r="L443" s="1">
        <f t="shared" si="6"/>
        <v>43440</v>
      </c>
      <c r="N443" s="6" t="str">
        <f>IF(ISERROR(VLOOKUP($A443,'Plano de Contas'!#REF!,8,FALSE)),"",VLOOKUP($A443,'Plano de Contas'!#REF!,8,FALSE))</f>
        <v/>
      </c>
      <c r="P443" s="6" t="str">
        <f>IF(ISERROR(VLOOKUP($A443,'Plano de Contas'!#REF!,10,FALSE)),"",VLOOKUP($A443,'Plano de Contas'!#REF!,10,FALSE))</f>
        <v/>
      </c>
      <c r="R443" s="6" t="e">
        <f>VLOOKUP(A443,'Plano de Contas'!#REF!,12,FALSE)</f>
        <v>#REF!</v>
      </c>
      <c r="T443" s="6" t="e">
        <f>VLOOKUP(A443,'Plano de Contas'!#REF!,13,FALSE)</f>
        <v>#REF!</v>
      </c>
    </row>
    <row r="444" spans="1:20" s="5" customFormat="1" x14ac:dyDescent="0.25">
      <c r="A444" t="s">
        <v>788</v>
      </c>
      <c r="B444">
        <v>231</v>
      </c>
      <c r="C444" t="s">
        <v>789</v>
      </c>
      <c r="D444" s="10">
        <v>753282.88</v>
      </c>
      <c r="E444"/>
      <c r="F444" s="10">
        <v>144281.29</v>
      </c>
      <c r="G444"/>
      <c r="H444" s="10">
        <v>-73963.58</v>
      </c>
      <c r="I444"/>
      <c r="J444" s="10">
        <v>823600.59</v>
      </c>
      <c r="K444"/>
      <c r="L444" s="1">
        <f t="shared" si="6"/>
        <v>823600.59</v>
      </c>
      <c r="N444" s="6" t="str">
        <f>IF(ISERROR(VLOOKUP($A444,'Plano de Contas'!#REF!,8,FALSE)),"",VLOOKUP($A444,'Plano de Contas'!#REF!,8,FALSE))</f>
        <v/>
      </c>
      <c r="P444" s="6" t="str">
        <f>IF(ISERROR(VLOOKUP($A444,'Plano de Contas'!#REF!,10,FALSE)),"",VLOOKUP($A444,'Plano de Contas'!#REF!,10,FALSE))</f>
        <v/>
      </c>
      <c r="R444" s="6" t="e">
        <f>VLOOKUP(A444,'Plano de Contas'!#REF!,12,FALSE)</f>
        <v>#REF!</v>
      </c>
      <c r="T444" s="6" t="e">
        <f>VLOOKUP(A444,'Plano de Contas'!#REF!,13,FALSE)</f>
        <v>#REF!</v>
      </c>
    </row>
    <row r="445" spans="1:20" s="5" customFormat="1" x14ac:dyDescent="0.25">
      <c r="A445" t="s">
        <v>790</v>
      </c>
      <c r="B445">
        <v>232</v>
      </c>
      <c r="C445" t="s">
        <v>791</v>
      </c>
      <c r="D445" s="10">
        <v>131167.09</v>
      </c>
      <c r="E445"/>
      <c r="F445" s="10">
        <v>9840.5400000000009</v>
      </c>
      <c r="G445"/>
      <c r="H445" s="10">
        <v>1200.23</v>
      </c>
      <c r="I445" t="s">
        <v>35</v>
      </c>
      <c r="J445" s="10">
        <v>139807.4</v>
      </c>
      <c r="K445"/>
      <c r="L445" s="1">
        <f t="shared" si="6"/>
        <v>139807.4</v>
      </c>
      <c r="N445" s="6" t="str">
        <f>IF(ISERROR(VLOOKUP($A445,'Plano de Contas'!#REF!,8,FALSE)),"",VLOOKUP($A445,'Plano de Contas'!#REF!,8,FALSE))</f>
        <v/>
      </c>
      <c r="P445" s="6" t="str">
        <f>IF(ISERROR(VLOOKUP($A445,'Plano de Contas'!#REF!,10,FALSE)),"",VLOOKUP($A445,'Plano de Contas'!#REF!,10,FALSE))</f>
        <v/>
      </c>
      <c r="R445" s="6" t="e">
        <f>VLOOKUP(A445,'Plano de Contas'!#REF!,12,FALSE)</f>
        <v>#REF!</v>
      </c>
      <c r="T445" s="6" t="e">
        <f>VLOOKUP(A445,'Plano de Contas'!#REF!,13,FALSE)</f>
        <v>#REF!</v>
      </c>
    </row>
    <row r="446" spans="1:20" s="5" customFormat="1" x14ac:dyDescent="0.25">
      <c r="A446" t="s">
        <v>792</v>
      </c>
      <c r="B446">
        <v>233</v>
      </c>
      <c r="C446" t="s">
        <v>793</v>
      </c>
      <c r="D446" s="10">
        <v>2722454.4</v>
      </c>
      <c r="E446"/>
      <c r="F446" s="10">
        <v>235594.47</v>
      </c>
      <c r="G446"/>
      <c r="H446" s="10">
        <v>7473.73</v>
      </c>
      <c r="I446" t="s">
        <v>35</v>
      </c>
      <c r="J446" s="10">
        <v>2950575.14</v>
      </c>
      <c r="K446"/>
      <c r="L446" s="1">
        <f t="shared" si="6"/>
        <v>2950575.14</v>
      </c>
      <c r="N446" s="6" t="str">
        <f>IF(ISERROR(VLOOKUP($A446,'Plano de Contas'!#REF!,8,FALSE)),"",VLOOKUP($A446,'Plano de Contas'!#REF!,8,FALSE))</f>
        <v/>
      </c>
      <c r="P446" s="6" t="str">
        <f>IF(ISERROR(VLOOKUP($A446,'Plano de Contas'!#REF!,10,FALSE)),"",VLOOKUP($A446,'Plano de Contas'!#REF!,10,FALSE))</f>
        <v/>
      </c>
      <c r="R446" s="6" t="e">
        <f>VLOOKUP(A446,'Plano de Contas'!#REF!,12,FALSE)</f>
        <v>#REF!</v>
      </c>
      <c r="T446" s="6" t="e">
        <f>VLOOKUP(A446,'Plano de Contas'!#REF!,13,FALSE)</f>
        <v>#REF!</v>
      </c>
    </row>
    <row r="447" spans="1:20" s="5" customFormat="1" x14ac:dyDescent="0.25">
      <c r="A447" t="s">
        <v>794</v>
      </c>
      <c r="B447">
        <v>235</v>
      </c>
      <c r="C447" t="s">
        <v>795</v>
      </c>
      <c r="D447" s="10">
        <v>-81138.14</v>
      </c>
      <c r="E447"/>
      <c r="F447" s="10">
        <v>17694.009999999998</v>
      </c>
      <c r="G447"/>
      <c r="H447" s="10">
        <v>-8677.06</v>
      </c>
      <c r="I447"/>
      <c r="J447" s="10">
        <v>-72121.19</v>
      </c>
      <c r="K447"/>
      <c r="L447" s="1">
        <f t="shared" si="6"/>
        <v>-72121.19</v>
      </c>
      <c r="N447" s="6" t="str">
        <f>IF(ISERROR(VLOOKUP($A447,'Plano de Contas'!#REF!,8,FALSE)),"",VLOOKUP($A447,'Plano de Contas'!#REF!,8,FALSE))</f>
        <v/>
      </c>
      <c r="P447" s="6" t="str">
        <f>IF(ISERROR(VLOOKUP($A447,'Plano de Contas'!#REF!,10,FALSE)),"",VLOOKUP($A447,'Plano de Contas'!#REF!,10,FALSE))</f>
        <v/>
      </c>
      <c r="R447" s="6" t="e">
        <f>VLOOKUP(A447,'Plano de Contas'!#REF!,12,FALSE)</f>
        <v>#REF!</v>
      </c>
      <c r="T447" s="6" t="e">
        <f>VLOOKUP(A447,'Plano de Contas'!#REF!,13,FALSE)</f>
        <v>#REF!</v>
      </c>
    </row>
    <row r="448" spans="1:20" s="5" customFormat="1" x14ac:dyDescent="0.25">
      <c r="A448" t="s">
        <v>796</v>
      </c>
      <c r="B448">
        <v>702</v>
      </c>
      <c r="C448" t="s">
        <v>797</v>
      </c>
      <c r="D448" s="10">
        <v>275404.59999999998</v>
      </c>
      <c r="E448"/>
      <c r="F448" s="10">
        <v>32390.400000000001</v>
      </c>
      <c r="G448"/>
      <c r="H448">
        <v>0</v>
      </c>
      <c r="I448"/>
      <c r="J448" s="10">
        <v>307795</v>
      </c>
      <c r="K448"/>
      <c r="L448" s="1">
        <f t="shared" si="6"/>
        <v>307795</v>
      </c>
      <c r="N448" s="6" t="str">
        <f>IF(ISERROR(VLOOKUP($A448,'Plano de Contas'!#REF!,8,FALSE)),"",VLOOKUP($A448,'Plano de Contas'!#REF!,8,FALSE))</f>
        <v/>
      </c>
      <c r="P448" s="6" t="str">
        <f>IF(ISERROR(VLOOKUP($A448,'Plano de Contas'!#REF!,10,FALSE)),"",VLOOKUP($A448,'Plano de Contas'!#REF!,10,FALSE))</f>
        <v/>
      </c>
      <c r="R448" s="6" t="e">
        <f>VLOOKUP(A448,'Plano de Contas'!#REF!,12,FALSE)</f>
        <v>#REF!</v>
      </c>
      <c r="T448" s="6" t="e">
        <f>VLOOKUP(A448,'Plano de Contas'!#REF!,13,FALSE)</f>
        <v>#REF!</v>
      </c>
    </row>
    <row r="449" spans="1:20" s="5" customFormat="1" x14ac:dyDescent="0.25">
      <c r="A449" t="s">
        <v>798</v>
      </c>
      <c r="B449">
        <v>703</v>
      </c>
      <c r="C449" t="s">
        <v>799</v>
      </c>
      <c r="D449" s="10">
        <v>201511.21</v>
      </c>
      <c r="E449"/>
      <c r="F449" s="10">
        <v>14300.1</v>
      </c>
      <c r="G449"/>
      <c r="H449">
        <v>0</v>
      </c>
      <c r="I449"/>
      <c r="J449" s="10">
        <v>215811.31</v>
      </c>
      <c r="K449"/>
      <c r="L449" s="1">
        <f t="shared" si="6"/>
        <v>215811.31</v>
      </c>
      <c r="N449" s="6" t="str">
        <f>IF(ISERROR(VLOOKUP($A449,'Plano de Contas'!#REF!,8,FALSE)),"",VLOOKUP($A449,'Plano de Contas'!#REF!,8,FALSE))</f>
        <v/>
      </c>
      <c r="P449" s="6" t="str">
        <f>IF(ISERROR(VLOOKUP($A449,'Plano de Contas'!#REF!,10,FALSE)),"",VLOOKUP($A449,'Plano de Contas'!#REF!,10,FALSE))</f>
        <v/>
      </c>
      <c r="R449" s="6" t="e">
        <f>VLOOKUP(A449,'Plano de Contas'!#REF!,12,FALSE)</f>
        <v>#REF!</v>
      </c>
      <c r="T449" s="6" t="e">
        <f>VLOOKUP(A449,'Plano de Contas'!#REF!,13,FALSE)</f>
        <v>#REF!</v>
      </c>
    </row>
    <row r="450" spans="1:20" s="5" customFormat="1" x14ac:dyDescent="0.25">
      <c r="A450" t="s">
        <v>800</v>
      </c>
      <c r="B450">
        <v>704</v>
      </c>
      <c r="C450" t="s">
        <v>801</v>
      </c>
      <c r="D450" s="10">
        <v>7985.06</v>
      </c>
      <c r="E450"/>
      <c r="F450" s="10">
        <v>788</v>
      </c>
      <c r="G450"/>
      <c r="H450">
        <v>0</v>
      </c>
      <c r="I450"/>
      <c r="J450" s="10">
        <v>8773.06</v>
      </c>
      <c r="K450"/>
      <c r="L450" s="1">
        <f t="shared" si="6"/>
        <v>8773.06</v>
      </c>
      <c r="N450" s="6" t="str">
        <f>IF(ISERROR(VLOOKUP($A450,'Plano de Contas'!#REF!,8,FALSE)),"",VLOOKUP($A450,'Plano de Contas'!#REF!,8,FALSE))</f>
        <v/>
      </c>
      <c r="P450" s="6" t="str">
        <f>IF(ISERROR(VLOOKUP($A450,'Plano de Contas'!#REF!,10,FALSE)),"",VLOOKUP($A450,'Plano de Contas'!#REF!,10,FALSE))</f>
        <v/>
      </c>
      <c r="R450" s="6" t="e">
        <f>VLOOKUP(A450,'Plano de Contas'!#REF!,12,FALSE)</f>
        <v>#REF!</v>
      </c>
      <c r="T450" s="6" t="e">
        <f>VLOOKUP(A450,'Plano de Contas'!#REF!,13,FALSE)</f>
        <v>#REF!</v>
      </c>
    </row>
    <row r="451" spans="1:20" s="5" customFormat="1" x14ac:dyDescent="0.25">
      <c r="A451" t="s">
        <v>802</v>
      </c>
      <c r="B451">
        <v>705</v>
      </c>
      <c r="C451" t="s">
        <v>803</v>
      </c>
      <c r="D451" s="10">
        <v>820423.63</v>
      </c>
      <c r="E451"/>
      <c r="F451" s="10">
        <v>74442.570000000007</v>
      </c>
      <c r="G451"/>
      <c r="H451" s="10">
        <v>0</v>
      </c>
      <c r="I451"/>
      <c r="J451" s="10">
        <v>894866.2</v>
      </c>
      <c r="K451"/>
      <c r="L451" s="1">
        <f t="shared" si="6"/>
        <v>894866.2</v>
      </c>
      <c r="N451" s="6" t="str">
        <f>IF(ISERROR(VLOOKUP($A451,'Plano de Contas'!#REF!,8,FALSE)),"",VLOOKUP($A451,'Plano de Contas'!#REF!,8,FALSE))</f>
        <v/>
      </c>
      <c r="P451" s="6" t="str">
        <f>IF(ISERROR(VLOOKUP($A451,'Plano de Contas'!#REF!,10,FALSE)),"",VLOOKUP($A451,'Plano de Contas'!#REF!,10,FALSE))</f>
        <v/>
      </c>
      <c r="R451" s="6" t="e">
        <f>VLOOKUP(A451,'Plano de Contas'!#REF!,12,FALSE)</f>
        <v>#REF!</v>
      </c>
      <c r="T451" s="6" t="e">
        <f>VLOOKUP(A451,'Plano de Contas'!#REF!,13,FALSE)</f>
        <v>#REF!</v>
      </c>
    </row>
    <row r="452" spans="1:20" s="5" customFormat="1" x14ac:dyDescent="0.25">
      <c r="A452" t="s">
        <v>804</v>
      </c>
      <c r="B452">
        <v>706</v>
      </c>
      <c r="C452" t="s">
        <v>805</v>
      </c>
      <c r="D452" s="10">
        <v>23159.33</v>
      </c>
      <c r="E452"/>
      <c r="F452" s="10">
        <v>2366.81</v>
      </c>
      <c r="G452"/>
      <c r="H452">
        <v>0</v>
      </c>
      <c r="I452"/>
      <c r="J452" s="10">
        <v>25526.14</v>
      </c>
      <c r="K452"/>
      <c r="L452" s="1">
        <f>IF(K452="-",-J452,J452)</f>
        <v>25526.14</v>
      </c>
      <c r="N452" s="6" t="str">
        <f>IF(ISERROR(VLOOKUP($A452,'Plano de Contas'!#REF!,8,FALSE)),"",VLOOKUP($A452,'Plano de Contas'!#REF!,8,FALSE))</f>
        <v/>
      </c>
      <c r="P452" s="6" t="str">
        <f>IF(ISERROR(VLOOKUP($A452,'Plano de Contas'!#REF!,10,FALSE)),"",VLOOKUP($A452,'Plano de Contas'!#REF!,10,FALSE))</f>
        <v/>
      </c>
      <c r="R452" s="6" t="e">
        <f>VLOOKUP(A452,'Plano de Contas'!#REF!,12,FALSE)</f>
        <v>#REF!</v>
      </c>
      <c r="T452" s="6" t="e">
        <f>VLOOKUP(A452,'Plano de Contas'!#REF!,13,FALSE)</f>
        <v>#REF!</v>
      </c>
    </row>
    <row r="453" spans="1:20" s="5" customFormat="1" x14ac:dyDescent="0.25">
      <c r="A453" t="s">
        <v>808</v>
      </c>
      <c r="B453">
        <v>708</v>
      </c>
      <c r="C453" t="s">
        <v>809</v>
      </c>
      <c r="D453" s="10">
        <v>517026.45</v>
      </c>
      <c r="E453"/>
      <c r="F453" s="10">
        <v>47159.99</v>
      </c>
      <c r="G453"/>
      <c r="H453" s="10">
        <v>0</v>
      </c>
      <c r="I453"/>
      <c r="J453" s="10">
        <v>564186.43999999994</v>
      </c>
      <c r="K453"/>
      <c r="L453" s="1">
        <f t="shared" si="6"/>
        <v>564186.43999999994</v>
      </c>
      <c r="N453" s="6" t="str">
        <f>IF(ISERROR(VLOOKUP($A453,'Plano de Contas'!#REF!,8,FALSE)),"",VLOOKUP($A453,'Plano de Contas'!#REF!,8,FALSE))</f>
        <v/>
      </c>
      <c r="P453" s="6" t="str">
        <f>IF(ISERROR(VLOOKUP($A453,'Plano de Contas'!#REF!,10,FALSE)),"",VLOOKUP($A453,'Plano de Contas'!#REF!,10,FALSE))</f>
        <v/>
      </c>
      <c r="R453" s="6" t="e">
        <f>VLOOKUP(A453,'Plano de Contas'!#REF!,12,FALSE)</f>
        <v>#REF!</v>
      </c>
      <c r="T453" s="6" t="e">
        <f>VLOOKUP(A453,'Plano de Contas'!#REF!,13,FALSE)</f>
        <v>#REF!</v>
      </c>
    </row>
    <row r="454" spans="1:20" s="5" customFormat="1" x14ac:dyDescent="0.25">
      <c r="A454" t="s">
        <v>810</v>
      </c>
      <c r="B454">
        <v>709</v>
      </c>
      <c r="C454" t="s">
        <v>811</v>
      </c>
      <c r="D454" s="10">
        <v>90509.67</v>
      </c>
      <c r="E454"/>
      <c r="F454" s="10">
        <v>8093.09</v>
      </c>
      <c r="G454"/>
      <c r="H454">
        <v>0</v>
      </c>
      <c r="I454"/>
      <c r="J454" s="10">
        <v>98602.76</v>
      </c>
      <c r="K454"/>
      <c r="L454" s="1">
        <f t="shared" si="6"/>
        <v>98602.76</v>
      </c>
      <c r="N454" s="6" t="str">
        <f>IF(ISERROR(VLOOKUP($A454,'Plano de Contas'!#REF!,8,FALSE)),"",VLOOKUP($A454,'Plano de Contas'!#REF!,8,FALSE))</f>
        <v/>
      </c>
      <c r="P454" s="6" t="str">
        <f>IF(ISERROR(VLOOKUP($A454,'Plano de Contas'!#REF!,10,FALSE)),"",VLOOKUP($A454,'Plano de Contas'!#REF!,10,FALSE))</f>
        <v/>
      </c>
      <c r="R454" s="6" t="e">
        <f>VLOOKUP(A454,'Plano de Contas'!#REF!,12,FALSE)</f>
        <v>#REF!</v>
      </c>
      <c r="T454" s="6" t="e">
        <f>VLOOKUP(A454,'Plano de Contas'!#REF!,13,FALSE)</f>
        <v>#REF!</v>
      </c>
    </row>
    <row r="455" spans="1:20" s="5" customFormat="1" x14ac:dyDescent="0.25">
      <c r="A455" t="s">
        <v>812</v>
      </c>
      <c r="B455">
        <v>710</v>
      </c>
      <c r="C455" t="s">
        <v>813</v>
      </c>
      <c r="D455" s="10">
        <v>1308856.5</v>
      </c>
      <c r="E455"/>
      <c r="F455" s="10">
        <v>119404.7</v>
      </c>
      <c r="G455"/>
      <c r="H455" s="10">
        <v>0</v>
      </c>
      <c r="I455"/>
      <c r="J455" s="10">
        <v>1428261.2</v>
      </c>
      <c r="K455"/>
      <c r="L455" s="1">
        <f t="shared" si="6"/>
        <v>1428261.2</v>
      </c>
      <c r="N455" s="6" t="str">
        <f>IF(ISERROR(VLOOKUP($A455,'Plano de Contas'!#REF!,8,FALSE)),"",VLOOKUP($A455,'Plano de Contas'!#REF!,8,FALSE))</f>
        <v/>
      </c>
      <c r="P455" s="6" t="str">
        <f>IF(ISERROR(VLOOKUP($A455,'Plano de Contas'!#REF!,10,FALSE)),"",VLOOKUP($A455,'Plano de Contas'!#REF!,10,FALSE))</f>
        <v/>
      </c>
      <c r="R455" s="6" t="e">
        <f>VLOOKUP(A455,'Plano de Contas'!#REF!,12,FALSE)</f>
        <v>#REF!</v>
      </c>
      <c r="T455" s="6" t="e">
        <f>VLOOKUP(A455,'Plano de Contas'!#REF!,13,FALSE)</f>
        <v>#REF!</v>
      </c>
    </row>
    <row r="456" spans="1:20" s="5" customFormat="1" x14ac:dyDescent="0.25">
      <c r="A456" t="s">
        <v>814</v>
      </c>
      <c r="B456">
        <v>711</v>
      </c>
      <c r="C456" t="s">
        <v>815</v>
      </c>
      <c r="D456" s="10">
        <v>48305.52</v>
      </c>
      <c r="E456"/>
      <c r="F456" s="10">
        <v>4818.33</v>
      </c>
      <c r="G456"/>
      <c r="H456">
        <v>0</v>
      </c>
      <c r="I456"/>
      <c r="J456" s="10">
        <v>53123.85</v>
      </c>
      <c r="K456"/>
      <c r="L456" s="1">
        <f t="shared" ref="L456:L519" si="7">IF(K456="-",-J456,J456)</f>
        <v>53123.85</v>
      </c>
      <c r="N456" s="6" t="str">
        <f>IF(ISERROR(VLOOKUP($A456,'Plano de Contas'!#REF!,8,FALSE)),"",VLOOKUP($A456,'Plano de Contas'!#REF!,8,FALSE))</f>
        <v/>
      </c>
      <c r="P456" s="6" t="str">
        <f>IF(ISERROR(VLOOKUP($A456,'Plano de Contas'!#REF!,10,FALSE)),"",VLOOKUP($A456,'Plano de Contas'!#REF!,10,FALSE))</f>
        <v/>
      </c>
      <c r="R456" s="6" t="e">
        <f>VLOOKUP(A456,'Plano de Contas'!#REF!,12,FALSE)</f>
        <v>#REF!</v>
      </c>
      <c r="T456" s="6" t="e">
        <f>VLOOKUP(A456,'Plano de Contas'!#REF!,13,FALSE)</f>
        <v>#REF!</v>
      </c>
    </row>
    <row r="457" spans="1:20" s="5" customFormat="1" x14ac:dyDescent="0.25">
      <c r="A457" t="s">
        <v>816</v>
      </c>
      <c r="B457">
        <v>712</v>
      </c>
      <c r="C457" t="s">
        <v>817</v>
      </c>
      <c r="D457" s="10">
        <v>40939.49</v>
      </c>
      <c r="E457"/>
      <c r="F457" s="10">
        <v>3218.08</v>
      </c>
      <c r="G457"/>
      <c r="H457" s="10">
        <v>0</v>
      </c>
      <c r="I457"/>
      <c r="J457" s="10">
        <v>44157.57</v>
      </c>
      <c r="K457"/>
      <c r="L457" s="1">
        <f t="shared" si="7"/>
        <v>44157.57</v>
      </c>
      <c r="N457" s="6" t="str">
        <f>IF(ISERROR(VLOOKUP($A457,'Plano de Contas'!#REF!,8,FALSE)),"",VLOOKUP($A457,'Plano de Contas'!#REF!,8,FALSE))</f>
        <v/>
      </c>
      <c r="P457" s="6" t="str">
        <f>IF(ISERROR(VLOOKUP($A457,'Plano de Contas'!#REF!,10,FALSE)),"",VLOOKUP($A457,'Plano de Contas'!#REF!,10,FALSE))</f>
        <v/>
      </c>
      <c r="R457" s="6" t="e">
        <f>VLOOKUP(A457,'Plano de Contas'!#REF!,12,FALSE)</f>
        <v>#REF!</v>
      </c>
      <c r="T457" s="6" t="e">
        <f>VLOOKUP(A457,'Plano de Contas'!#REF!,13,FALSE)</f>
        <v>#REF!</v>
      </c>
    </row>
    <row r="458" spans="1:20" s="5" customFormat="1" x14ac:dyDescent="0.25">
      <c r="A458" t="s">
        <v>820</v>
      </c>
      <c r="B458">
        <v>829</v>
      </c>
      <c r="C458" t="s">
        <v>821</v>
      </c>
      <c r="D458" s="10">
        <v>84919.99</v>
      </c>
      <c r="E458"/>
      <c r="F458" s="10">
        <v>7788.18</v>
      </c>
      <c r="G458"/>
      <c r="H458" s="10">
        <v>0</v>
      </c>
      <c r="I458"/>
      <c r="J458" s="10">
        <v>92708.17</v>
      </c>
      <c r="K458"/>
      <c r="L458" s="1">
        <f t="shared" si="7"/>
        <v>92708.17</v>
      </c>
      <c r="N458" s="6" t="str">
        <f>IF(ISERROR(VLOOKUP($A458,'Plano de Contas'!#REF!,8,FALSE)),"",VLOOKUP($A458,'Plano de Contas'!#REF!,8,FALSE))</f>
        <v/>
      </c>
      <c r="P458" s="6" t="str">
        <f>IF(ISERROR(VLOOKUP($A458,'Plano de Contas'!#REF!,10,FALSE)),"",VLOOKUP($A458,'Plano de Contas'!#REF!,10,FALSE))</f>
        <v/>
      </c>
      <c r="R458" s="6" t="e">
        <f>VLOOKUP(A458,'Plano de Contas'!#REF!,12,FALSE)</f>
        <v>#REF!</v>
      </c>
      <c r="T458" s="6" t="e">
        <f>VLOOKUP(A458,'Plano de Contas'!#REF!,13,FALSE)</f>
        <v>#REF!</v>
      </c>
    </row>
    <row r="459" spans="1:20" s="5" customFormat="1" x14ac:dyDescent="0.25">
      <c r="A459" t="s">
        <v>1064</v>
      </c>
      <c r="B459">
        <v>987</v>
      </c>
      <c r="C459" t="s">
        <v>1065</v>
      </c>
      <c r="D459" s="10">
        <v>100572.73</v>
      </c>
      <c r="E459"/>
      <c r="F459" s="10">
        <v>6228.96</v>
      </c>
      <c r="G459"/>
      <c r="H459" s="10">
        <v>0</v>
      </c>
      <c r="I459"/>
      <c r="J459" s="10">
        <v>106801.69</v>
      </c>
      <c r="K459"/>
      <c r="L459" s="1">
        <f t="shared" si="7"/>
        <v>106801.69</v>
      </c>
      <c r="N459" s="6" t="str">
        <f>IF(ISERROR(VLOOKUP($A459,'Plano de Contas'!#REF!,8,FALSE)),"",VLOOKUP($A459,'Plano de Contas'!#REF!,8,FALSE))</f>
        <v/>
      </c>
      <c r="P459" s="6" t="str">
        <f>IF(ISERROR(VLOOKUP($A459,'Plano de Contas'!#REF!,10,FALSE)),"",VLOOKUP($A459,'Plano de Contas'!#REF!,10,FALSE))</f>
        <v/>
      </c>
      <c r="R459" s="6" t="e">
        <f>VLOOKUP(A459,'Plano de Contas'!#REF!,12,FALSE)</f>
        <v>#REF!</v>
      </c>
      <c r="T459" s="6" t="e">
        <f>VLOOKUP(A459,'Plano de Contas'!#REF!,13,FALSE)</f>
        <v>#REF!</v>
      </c>
    </row>
    <row r="460" spans="1:20" s="5" customFormat="1" x14ac:dyDescent="0.25">
      <c r="A460"/>
      <c r="B460"/>
      <c r="C460"/>
      <c r="D460" s="10"/>
      <c r="E460"/>
      <c r="F460" s="10"/>
      <c r="G460"/>
      <c r="H460" s="10"/>
      <c r="I460"/>
      <c r="J460" s="10"/>
      <c r="K460"/>
      <c r="L460" s="1">
        <f t="shared" si="7"/>
        <v>0</v>
      </c>
      <c r="N460" s="6" t="str">
        <f>IF(ISERROR(VLOOKUP($A460,'Plano de Contas'!#REF!,8,FALSE)),"",VLOOKUP($A460,'Plano de Contas'!#REF!,8,FALSE))</f>
        <v/>
      </c>
      <c r="P460" s="6" t="str">
        <f>IF(ISERROR(VLOOKUP($A460,'Plano de Contas'!#REF!,10,FALSE)),"",VLOOKUP($A460,'Plano de Contas'!#REF!,10,FALSE))</f>
        <v/>
      </c>
      <c r="R460" s="6" t="e">
        <f>VLOOKUP(A460,'Plano de Contas'!#REF!,12,FALSE)</f>
        <v>#REF!</v>
      </c>
      <c r="T460" s="6" t="e">
        <f>VLOOKUP(A460,'Plano de Contas'!#REF!,13,FALSE)</f>
        <v>#REF!</v>
      </c>
    </row>
    <row r="461" spans="1:20" s="5" customFormat="1" x14ac:dyDescent="0.25">
      <c r="A461" t="s">
        <v>826</v>
      </c>
      <c r="B461">
        <v>237</v>
      </c>
      <c r="C461" t="s">
        <v>827</v>
      </c>
      <c r="D461" s="10">
        <v>54073984.700000003</v>
      </c>
      <c r="E461"/>
      <c r="F461" s="10">
        <v>17548807.27</v>
      </c>
      <c r="G461"/>
      <c r="H461" s="10">
        <v>509176.83</v>
      </c>
      <c r="I461" t="s">
        <v>35</v>
      </c>
      <c r="J461" s="10">
        <v>71113615.140000001</v>
      </c>
      <c r="K461"/>
      <c r="L461" s="1">
        <f t="shared" si="7"/>
        <v>71113615.140000001</v>
      </c>
      <c r="N461" s="6" t="str">
        <f>IF(ISERROR(VLOOKUP($A461,'Plano de Contas'!#REF!,8,FALSE)),"",VLOOKUP($A461,'Plano de Contas'!#REF!,8,FALSE))</f>
        <v/>
      </c>
      <c r="P461" s="6" t="str">
        <f>IF(ISERROR(VLOOKUP($A461,'Plano de Contas'!#REF!,10,FALSE)),"",VLOOKUP($A461,'Plano de Contas'!#REF!,10,FALSE))</f>
        <v/>
      </c>
      <c r="R461" s="6" t="e">
        <f>VLOOKUP(A461,'Plano de Contas'!#REF!,12,FALSE)</f>
        <v>#REF!</v>
      </c>
      <c r="T461" s="6" t="e">
        <f>VLOOKUP(A461,'Plano de Contas'!#REF!,13,FALSE)</f>
        <v>#REF!</v>
      </c>
    </row>
    <row r="462" spans="1:20" s="5" customFormat="1" x14ac:dyDescent="0.25">
      <c r="A462" t="s">
        <v>828</v>
      </c>
      <c r="B462">
        <v>238</v>
      </c>
      <c r="C462" t="s">
        <v>829</v>
      </c>
      <c r="D462" s="10">
        <v>2089269.76</v>
      </c>
      <c r="E462"/>
      <c r="F462" s="10">
        <v>166027.01</v>
      </c>
      <c r="G462"/>
      <c r="H462" s="10">
        <v>0</v>
      </c>
      <c r="I462"/>
      <c r="J462" s="10">
        <v>2255296.77</v>
      </c>
      <c r="K462"/>
      <c r="L462" s="1">
        <f t="shared" si="7"/>
        <v>2255296.77</v>
      </c>
      <c r="N462" s="6" t="str">
        <f>IF(ISERROR(VLOOKUP($A462,'Plano de Contas'!#REF!,8,FALSE)),"",VLOOKUP($A462,'Plano de Contas'!#REF!,8,FALSE))</f>
        <v/>
      </c>
      <c r="P462" s="6" t="str">
        <f>IF(ISERROR(VLOOKUP($A462,'Plano de Contas'!#REF!,10,FALSE)),"",VLOOKUP($A462,'Plano de Contas'!#REF!,10,FALSE))</f>
        <v/>
      </c>
      <c r="R462" s="6" t="e">
        <f>VLOOKUP(A462,'Plano de Contas'!#REF!,12,FALSE)</f>
        <v>#REF!</v>
      </c>
      <c r="T462" s="6" t="e">
        <f>VLOOKUP(A462,'Plano de Contas'!#REF!,13,FALSE)</f>
        <v>#REF!</v>
      </c>
    </row>
    <row r="463" spans="1:20" s="5" customFormat="1" x14ac:dyDescent="0.25">
      <c r="A463" t="s">
        <v>830</v>
      </c>
      <c r="B463">
        <v>239</v>
      </c>
      <c r="C463" t="s">
        <v>831</v>
      </c>
      <c r="D463" s="10">
        <v>1579372.17</v>
      </c>
      <c r="E463"/>
      <c r="F463" s="10">
        <v>160788.64000000001</v>
      </c>
      <c r="G463"/>
      <c r="H463" s="10">
        <v>0</v>
      </c>
      <c r="I463"/>
      <c r="J463" s="10">
        <v>1740160.81</v>
      </c>
      <c r="K463"/>
      <c r="L463" s="1">
        <f t="shared" si="7"/>
        <v>1740160.81</v>
      </c>
      <c r="N463" s="6" t="str">
        <f>IF(ISERROR(VLOOKUP($A463,'Plano de Contas'!#REF!,8,FALSE)),"",VLOOKUP($A463,'Plano de Contas'!#REF!,8,FALSE))</f>
        <v/>
      </c>
      <c r="P463" s="6" t="str">
        <f>IF(ISERROR(VLOOKUP($A463,'Plano de Contas'!#REF!,10,FALSE)),"",VLOOKUP($A463,'Plano de Contas'!#REF!,10,FALSE))</f>
        <v/>
      </c>
      <c r="R463" s="6" t="e">
        <f>VLOOKUP(A463,'Plano de Contas'!#REF!,12,FALSE)</f>
        <v>#REF!</v>
      </c>
      <c r="T463" s="6" t="e">
        <f>VLOOKUP(A463,'Plano de Contas'!#REF!,13,FALSE)</f>
        <v>#REF!</v>
      </c>
    </row>
    <row r="464" spans="1:20" s="5" customFormat="1" x14ac:dyDescent="0.25">
      <c r="A464" t="s">
        <v>832</v>
      </c>
      <c r="B464">
        <v>240</v>
      </c>
      <c r="C464" t="s">
        <v>833</v>
      </c>
      <c r="D464" s="10">
        <v>347872.13</v>
      </c>
      <c r="E464"/>
      <c r="F464" s="10">
        <v>26084.3</v>
      </c>
      <c r="G464"/>
      <c r="H464" s="10">
        <v>0</v>
      </c>
      <c r="I464"/>
      <c r="J464" s="10">
        <v>373956.43</v>
      </c>
      <c r="K464"/>
      <c r="L464" s="1">
        <f t="shared" si="7"/>
        <v>373956.43</v>
      </c>
      <c r="N464" s="6" t="str">
        <f>IF(ISERROR(VLOOKUP($A464,'Plano de Contas'!#REF!,8,FALSE)),"",VLOOKUP($A464,'Plano de Contas'!#REF!,8,FALSE))</f>
        <v/>
      </c>
      <c r="P464" s="6" t="str">
        <f>IF(ISERROR(VLOOKUP($A464,'Plano de Contas'!#REF!,10,FALSE)),"",VLOOKUP($A464,'Plano de Contas'!#REF!,10,FALSE))</f>
        <v/>
      </c>
      <c r="R464" s="6" t="e">
        <f>VLOOKUP(A464,'Plano de Contas'!#REF!,12,FALSE)</f>
        <v>#REF!</v>
      </c>
      <c r="T464" s="6" t="e">
        <f>VLOOKUP(A464,'Plano de Contas'!#REF!,13,FALSE)</f>
        <v>#REF!</v>
      </c>
    </row>
    <row r="465" spans="1:20" s="5" customFormat="1" x14ac:dyDescent="0.25">
      <c r="A465" t="s">
        <v>834</v>
      </c>
      <c r="B465">
        <v>242</v>
      </c>
      <c r="C465" t="s">
        <v>835</v>
      </c>
      <c r="D465" s="10">
        <v>291016.31</v>
      </c>
      <c r="E465"/>
      <c r="F465" s="10">
        <v>21230.560000000001</v>
      </c>
      <c r="G465"/>
      <c r="H465" s="10">
        <v>0</v>
      </c>
      <c r="I465"/>
      <c r="J465" s="10">
        <v>312246.87</v>
      </c>
      <c r="K465"/>
      <c r="L465" s="1">
        <f t="shared" si="7"/>
        <v>312246.87</v>
      </c>
      <c r="N465" s="6" t="str">
        <f>IF(ISERROR(VLOOKUP($A465,'Plano de Contas'!#REF!,8,FALSE)),"",VLOOKUP($A465,'Plano de Contas'!#REF!,8,FALSE))</f>
        <v/>
      </c>
      <c r="P465" s="6" t="str">
        <f>IF(ISERROR(VLOOKUP($A465,'Plano de Contas'!#REF!,10,FALSE)),"",VLOOKUP($A465,'Plano de Contas'!#REF!,10,FALSE))</f>
        <v/>
      </c>
      <c r="R465" s="6" t="e">
        <f>VLOOKUP(A465,'Plano de Contas'!#REF!,12,FALSE)</f>
        <v>#REF!</v>
      </c>
      <c r="T465" s="6" t="e">
        <f>VLOOKUP(A465,'Plano de Contas'!#REF!,13,FALSE)</f>
        <v>#REF!</v>
      </c>
    </row>
    <row r="466" spans="1:20" s="5" customFormat="1" x14ac:dyDescent="0.25">
      <c r="A466" t="s">
        <v>836</v>
      </c>
      <c r="B466">
        <v>243</v>
      </c>
      <c r="C466" t="s">
        <v>837</v>
      </c>
      <c r="D466" s="10">
        <v>1796032.9</v>
      </c>
      <c r="E466"/>
      <c r="F466" s="10">
        <v>167318.01</v>
      </c>
      <c r="G466"/>
      <c r="H466" s="10">
        <v>0</v>
      </c>
      <c r="I466"/>
      <c r="J466" s="10">
        <v>1963350.91</v>
      </c>
      <c r="K466"/>
      <c r="L466" s="1">
        <f t="shared" si="7"/>
        <v>1963350.91</v>
      </c>
      <c r="N466" s="6" t="str">
        <f>IF(ISERROR(VLOOKUP($A466,'Plano de Contas'!#REF!,8,FALSE)),"",VLOOKUP($A466,'Plano de Contas'!#REF!,8,FALSE))</f>
        <v/>
      </c>
      <c r="P466" s="6" t="str">
        <f>IF(ISERROR(VLOOKUP($A466,'Plano de Contas'!#REF!,10,FALSE)),"",VLOOKUP($A466,'Plano de Contas'!#REF!,10,FALSE))</f>
        <v/>
      </c>
      <c r="R466" s="6" t="e">
        <f>VLOOKUP(A466,'Plano de Contas'!#REF!,12,FALSE)</f>
        <v>#REF!</v>
      </c>
      <c r="T466" s="6" t="e">
        <f>VLOOKUP(A466,'Plano de Contas'!#REF!,13,FALSE)</f>
        <v>#REF!</v>
      </c>
    </row>
    <row r="467" spans="1:20" s="5" customFormat="1" x14ac:dyDescent="0.25">
      <c r="A467" t="s">
        <v>838</v>
      </c>
      <c r="B467">
        <v>244</v>
      </c>
      <c r="C467" t="s">
        <v>839</v>
      </c>
      <c r="D467" s="10">
        <v>38319.800000000003</v>
      </c>
      <c r="E467"/>
      <c r="F467" s="10">
        <v>18867.919999999998</v>
      </c>
      <c r="G467"/>
      <c r="H467" s="10">
        <v>0</v>
      </c>
      <c r="I467"/>
      <c r="J467" s="10">
        <v>57187.72</v>
      </c>
      <c r="K467"/>
      <c r="L467" s="1">
        <f t="shared" si="7"/>
        <v>57187.72</v>
      </c>
      <c r="N467" s="6" t="str">
        <f>IF(ISERROR(VLOOKUP($A467,'Plano de Contas'!#REF!,8,FALSE)),"",VLOOKUP($A467,'Plano de Contas'!#REF!,8,FALSE))</f>
        <v/>
      </c>
      <c r="P467" s="6" t="str">
        <f>IF(ISERROR(VLOOKUP($A467,'Plano de Contas'!#REF!,10,FALSE)),"",VLOOKUP($A467,'Plano de Contas'!#REF!,10,FALSE))</f>
        <v/>
      </c>
      <c r="R467" s="6" t="e">
        <f>VLOOKUP(A467,'Plano de Contas'!#REF!,12,FALSE)</f>
        <v>#REF!</v>
      </c>
      <c r="T467" s="6" t="e">
        <f>VLOOKUP(A467,'Plano de Contas'!#REF!,13,FALSE)</f>
        <v>#REF!</v>
      </c>
    </row>
    <row r="468" spans="1:20" s="5" customFormat="1" x14ac:dyDescent="0.25">
      <c r="A468" t="s">
        <v>840</v>
      </c>
      <c r="B468">
        <v>245</v>
      </c>
      <c r="C468" t="s">
        <v>841</v>
      </c>
      <c r="D468" s="10">
        <v>159332.73000000001</v>
      </c>
      <c r="E468"/>
      <c r="F468" s="10">
        <v>13554.26</v>
      </c>
      <c r="G468"/>
      <c r="H468" s="10">
        <v>0</v>
      </c>
      <c r="I468"/>
      <c r="J468" s="10">
        <v>172886.99</v>
      </c>
      <c r="K468"/>
      <c r="L468" s="1">
        <f t="shared" si="7"/>
        <v>172886.99</v>
      </c>
      <c r="N468" s="6" t="str">
        <f>IF(ISERROR(VLOOKUP($A468,'Plano de Contas'!#REF!,8,FALSE)),"",VLOOKUP($A468,'Plano de Contas'!#REF!,8,FALSE))</f>
        <v/>
      </c>
      <c r="P468" s="6" t="str">
        <f>IF(ISERROR(VLOOKUP($A468,'Plano de Contas'!#REF!,10,FALSE)),"",VLOOKUP($A468,'Plano de Contas'!#REF!,10,FALSE))</f>
        <v/>
      </c>
      <c r="R468" s="6" t="e">
        <f>VLOOKUP(A468,'Plano de Contas'!#REF!,12,FALSE)</f>
        <v>#REF!</v>
      </c>
      <c r="T468" s="6" t="e">
        <f>VLOOKUP(A468,'Plano de Contas'!#REF!,13,FALSE)</f>
        <v>#REF!</v>
      </c>
    </row>
    <row r="469" spans="1:20" s="5" customFormat="1" x14ac:dyDescent="0.25">
      <c r="A469" t="s">
        <v>842</v>
      </c>
      <c r="B469">
        <v>246</v>
      </c>
      <c r="C469" t="s">
        <v>843</v>
      </c>
      <c r="D469" s="10">
        <v>40369.279999999999</v>
      </c>
      <c r="E469"/>
      <c r="F469" s="10">
        <v>1289.44</v>
      </c>
      <c r="G469"/>
      <c r="H469">
        <v>0</v>
      </c>
      <c r="I469"/>
      <c r="J469" s="10">
        <v>41658.720000000001</v>
      </c>
      <c r="K469"/>
      <c r="L469" s="1">
        <f t="shared" si="7"/>
        <v>41658.720000000001</v>
      </c>
      <c r="N469" s="6" t="str">
        <f>IF(ISERROR(VLOOKUP($A469,'Plano de Contas'!#REF!,8,FALSE)),"",VLOOKUP($A469,'Plano de Contas'!#REF!,8,FALSE))</f>
        <v/>
      </c>
      <c r="P469" s="6" t="str">
        <f>IF(ISERROR(VLOOKUP($A469,'Plano de Contas'!#REF!,10,FALSE)),"",VLOOKUP($A469,'Plano de Contas'!#REF!,10,FALSE))</f>
        <v/>
      </c>
      <c r="R469" s="6" t="e">
        <f>VLOOKUP(A469,'Plano de Contas'!#REF!,12,FALSE)</f>
        <v>#REF!</v>
      </c>
      <c r="T469" s="6" t="e">
        <f>VLOOKUP(A469,'Plano de Contas'!#REF!,13,FALSE)</f>
        <v>#REF!</v>
      </c>
    </row>
    <row r="470" spans="1:20" s="5" customFormat="1" x14ac:dyDescent="0.25">
      <c r="A470" t="s">
        <v>844</v>
      </c>
      <c r="B470">
        <v>247</v>
      </c>
      <c r="C470" t="s">
        <v>845</v>
      </c>
      <c r="D470" s="10">
        <v>8166.34</v>
      </c>
      <c r="E470"/>
      <c r="F470" s="10">
        <v>915.37</v>
      </c>
      <c r="G470"/>
      <c r="H470">
        <v>0</v>
      </c>
      <c r="I470"/>
      <c r="J470" s="10">
        <v>9081.7099999999991</v>
      </c>
      <c r="K470"/>
      <c r="L470" s="1">
        <f t="shared" si="7"/>
        <v>9081.7099999999991</v>
      </c>
      <c r="N470" s="6" t="str">
        <f>IF(ISERROR(VLOOKUP($A470,'Plano de Contas'!#REF!,8,FALSE)),"",VLOOKUP($A470,'Plano de Contas'!#REF!,8,FALSE))</f>
        <v/>
      </c>
      <c r="P470" s="6" t="str">
        <f>IF(ISERROR(VLOOKUP($A470,'Plano de Contas'!#REF!,10,FALSE)),"",VLOOKUP($A470,'Plano de Contas'!#REF!,10,FALSE))</f>
        <v/>
      </c>
      <c r="R470" s="6" t="e">
        <f>VLOOKUP(A470,'Plano de Contas'!#REF!,12,FALSE)</f>
        <v>#REF!</v>
      </c>
      <c r="T470" s="6" t="e">
        <f>VLOOKUP(A470,'Plano de Contas'!#REF!,13,FALSE)</f>
        <v>#REF!</v>
      </c>
    </row>
    <row r="471" spans="1:20" s="5" customFormat="1" x14ac:dyDescent="0.25">
      <c r="A471" t="s">
        <v>846</v>
      </c>
      <c r="B471">
        <v>248</v>
      </c>
      <c r="C471" t="s">
        <v>847</v>
      </c>
      <c r="D471" s="10">
        <v>205323.98</v>
      </c>
      <c r="E471"/>
      <c r="F471" s="10">
        <v>96829.28</v>
      </c>
      <c r="G471"/>
      <c r="H471">
        <v>0</v>
      </c>
      <c r="I471"/>
      <c r="J471" s="10">
        <v>302153.26</v>
      </c>
      <c r="K471"/>
      <c r="L471" s="1">
        <f t="shared" si="7"/>
        <v>302153.26</v>
      </c>
      <c r="N471" s="6" t="str">
        <f>IF(ISERROR(VLOOKUP($A471,'Plano de Contas'!#REF!,8,FALSE)),"",VLOOKUP($A471,'Plano de Contas'!#REF!,8,FALSE))</f>
        <v/>
      </c>
      <c r="P471" s="6" t="str">
        <f>IF(ISERROR(VLOOKUP($A471,'Plano de Contas'!#REF!,10,FALSE)),"",VLOOKUP($A471,'Plano de Contas'!#REF!,10,FALSE))</f>
        <v/>
      </c>
      <c r="R471" s="6" t="e">
        <f>VLOOKUP(A471,'Plano de Contas'!#REF!,12,FALSE)</f>
        <v>#REF!</v>
      </c>
      <c r="T471" s="6" t="e">
        <f>VLOOKUP(A471,'Plano de Contas'!#REF!,13,FALSE)</f>
        <v>#REF!</v>
      </c>
    </row>
    <row r="472" spans="1:20" s="5" customFormat="1" x14ac:dyDescent="0.25">
      <c r="A472" t="s">
        <v>848</v>
      </c>
      <c r="B472">
        <v>249</v>
      </c>
      <c r="C472" t="s">
        <v>849</v>
      </c>
      <c r="D472" s="10">
        <v>17832.169999999998</v>
      </c>
      <c r="E472"/>
      <c r="F472" s="10">
        <v>883.58</v>
      </c>
      <c r="G472"/>
      <c r="H472">
        <v>0</v>
      </c>
      <c r="I472"/>
      <c r="J472" s="10">
        <v>18715.75</v>
      </c>
      <c r="K472"/>
      <c r="L472" s="1">
        <f t="shared" si="7"/>
        <v>18715.75</v>
      </c>
      <c r="N472" s="6" t="str">
        <f>IF(ISERROR(VLOOKUP($A472,'Plano de Contas'!#REF!,8,FALSE)),"",VLOOKUP($A472,'Plano de Contas'!#REF!,8,FALSE))</f>
        <v/>
      </c>
      <c r="P472" s="6" t="str">
        <f>IF(ISERROR(VLOOKUP($A472,'Plano de Contas'!#REF!,10,FALSE)),"",VLOOKUP($A472,'Plano de Contas'!#REF!,10,FALSE))</f>
        <v/>
      </c>
      <c r="R472" s="6" t="e">
        <f>VLOOKUP(A472,'Plano de Contas'!#REF!,12,FALSE)</f>
        <v>#REF!</v>
      </c>
      <c r="T472" s="6" t="e">
        <f>VLOOKUP(A472,'Plano de Contas'!#REF!,13,FALSE)</f>
        <v>#REF!</v>
      </c>
    </row>
    <row r="473" spans="1:20" s="5" customFormat="1" x14ac:dyDescent="0.25">
      <c r="A473" t="s">
        <v>850</v>
      </c>
      <c r="B473">
        <v>250</v>
      </c>
      <c r="C473" t="s">
        <v>851</v>
      </c>
      <c r="D473" s="10">
        <v>460928.65</v>
      </c>
      <c r="E473"/>
      <c r="F473" s="10">
        <v>46449.56</v>
      </c>
      <c r="G473"/>
      <c r="H473" s="10">
        <v>0</v>
      </c>
      <c r="I473"/>
      <c r="J473" s="10">
        <v>507378.21</v>
      </c>
      <c r="K473"/>
      <c r="L473" s="1">
        <f t="shared" si="7"/>
        <v>507378.21</v>
      </c>
      <c r="N473" s="6" t="str">
        <f>IF(ISERROR(VLOOKUP($A473,'Plano de Contas'!#REF!,8,FALSE)),"",VLOOKUP($A473,'Plano de Contas'!#REF!,8,FALSE))</f>
        <v/>
      </c>
      <c r="P473" s="6" t="str">
        <f>IF(ISERROR(VLOOKUP($A473,'Plano de Contas'!#REF!,10,FALSE)),"",VLOOKUP($A473,'Plano de Contas'!#REF!,10,FALSE))</f>
        <v/>
      </c>
      <c r="R473" s="6" t="e">
        <f>VLOOKUP(A473,'Plano de Contas'!#REF!,12,FALSE)</f>
        <v>#REF!</v>
      </c>
      <c r="T473" s="6" t="e">
        <f>VLOOKUP(A473,'Plano de Contas'!#REF!,13,FALSE)</f>
        <v>#REF!</v>
      </c>
    </row>
    <row r="474" spans="1:20" s="5" customFormat="1" x14ac:dyDescent="0.25">
      <c r="A474" t="s">
        <v>852</v>
      </c>
      <c r="B474">
        <v>251</v>
      </c>
      <c r="C474" t="s">
        <v>853</v>
      </c>
      <c r="D474" s="10">
        <v>3903.04</v>
      </c>
      <c r="E474"/>
      <c r="F474" s="10">
        <v>9977.68</v>
      </c>
      <c r="G474"/>
      <c r="H474">
        <v>0</v>
      </c>
      <c r="I474"/>
      <c r="J474" s="10">
        <v>13880.72</v>
      </c>
      <c r="K474"/>
      <c r="L474" s="1">
        <f t="shared" si="7"/>
        <v>13880.72</v>
      </c>
      <c r="N474" s="6" t="str">
        <f>IF(ISERROR(VLOOKUP($A474,'Plano de Contas'!#REF!,8,FALSE)),"",VLOOKUP($A474,'Plano de Contas'!#REF!,8,FALSE))</f>
        <v/>
      </c>
      <c r="P474" s="6" t="str">
        <f>IF(ISERROR(VLOOKUP($A474,'Plano de Contas'!#REF!,10,FALSE)),"",VLOOKUP($A474,'Plano de Contas'!#REF!,10,FALSE))</f>
        <v/>
      </c>
      <c r="R474" s="6" t="e">
        <f>VLOOKUP(A474,'Plano de Contas'!#REF!,12,FALSE)</f>
        <v>#REF!</v>
      </c>
      <c r="T474" s="6" t="e">
        <f>VLOOKUP(A474,'Plano de Contas'!#REF!,13,FALSE)</f>
        <v>#REF!</v>
      </c>
    </row>
    <row r="475" spans="1:20" s="5" customFormat="1" x14ac:dyDescent="0.25">
      <c r="A475" t="s">
        <v>854</v>
      </c>
      <c r="B475">
        <v>252</v>
      </c>
      <c r="C475" t="s">
        <v>855</v>
      </c>
      <c r="D475" s="10">
        <v>956</v>
      </c>
      <c r="E475"/>
      <c r="F475" s="10">
        <v>0</v>
      </c>
      <c r="G475"/>
      <c r="H475">
        <v>0</v>
      </c>
      <c r="I475"/>
      <c r="J475" s="10">
        <v>956</v>
      </c>
      <c r="K475"/>
      <c r="L475" s="1">
        <f t="shared" si="7"/>
        <v>956</v>
      </c>
      <c r="N475" s="6" t="str">
        <f>IF(ISERROR(VLOOKUP($A475,'Plano de Contas'!#REF!,8,FALSE)),"",VLOOKUP($A475,'Plano de Contas'!#REF!,8,FALSE))</f>
        <v/>
      </c>
      <c r="P475" s="6" t="str">
        <f>IF(ISERROR(VLOOKUP($A475,'Plano de Contas'!#REF!,10,FALSE)),"",VLOOKUP($A475,'Plano de Contas'!#REF!,10,FALSE))</f>
        <v/>
      </c>
      <c r="R475" s="6" t="e">
        <f>VLOOKUP(A475,'Plano de Contas'!#REF!,12,FALSE)</f>
        <v>#REF!</v>
      </c>
      <c r="T475" s="6" t="e">
        <f>VLOOKUP(A475,'Plano de Contas'!#REF!,13,FALSE)</f>
        <v>#REF!</v>
      </c>
    </row>
    <row r="476" spans="1:20" s="5" customFormat="1" x14ac:dyDescent="0.25">
      <c r="A476" t="s">
        <v>856</v>
      </c>
      <c r="B476">
        <v>253</v>
      </c>
      <c r="C476" t="s">
        <v>857</v>
      </c>
      <c r="D476" s="10">
        <v>438790.40000000002</v>
      </c>
      <c r="E476"/>
      <c r="F476" s="10">
        <v>40052.29</v>
      </c>
      <c r="G476"/>
      <c r="H476" s="10">
        <v>0</v>
      </c>
      <c r="I476"/>
      <c r="J476" s="10">
        <v>478842.69</v>
      </c>
      <c r="K476"/>
      <c r="L476" s="1">
        <f t="shared" si="7"/>
        <v>478842.69</v>
      </c>
      <c r="N476" s="6" t="str">
        <f>IF(ISERROR(VLOOKUP($A476,'Plano de Contas'!#REF!,8,FALSE)),"",VLOOKUP($A476,'Plano de Contas'!#REF!,8,FALSE))</f>
        <v/>
      </c>
      <c r="P476" s="6" t="str">
        <f>IF(ISERROR(VLOOKUP($A476,'Plano de Contas'!#REF!,10,FALSE)),"",VLOOKUP($A476,'Plano de Contas'!#REF!,10,FALSE))</f>
        <v/>
      </c>
      <c r="R476" s="6" t="e">
        <f>VLOOKUP(A476,'Plano de Contas'!#REF!,12,FALSE)</f>
        <v>#REF!</v>
      </c>
      <c r="T476" s="6" t="e">
        <f>VLOOKUP(A476,'Plano de Contas'!#REF!,13,FALSE)</f>
        <v>#REF!</v>
      </c>
    </row>
    <row r="477" spans="1:20" s="5" customFormat="1" x14ac:dyDescent="0.25">
      <c r="A477" t="s">
        <v>858</v>
      </c>
      <c r="B477">
        <v>254</v>
      </c>
      <c r="C477" t="s">
        <v>859</v>
      </c>
      <c r="D477" s="10">
        <v>9578067.6699999999</v>
      </c>
      <c r="E477"/>
      <c r="F477" s="10">
        <v>4199620.22</v>
      </c>
      <c r="G477"/>
      <c r="H477">
        <v>0</v>
      </c>
      <c r="I477"/>
      <c r="J477" s="10">
        <v>13777687.890000001</v>
      </c>
      <c r="K477"/>
      <c r="L477" s="1">
        <f t="shared" si="7"/>
        <v>13777687.890000001</v>
      </c>
      <c r="N477" s="6" t="str">
        <f>IF(ISERROR(VLOOKUP($A477,'Plano de Contas'!#REF!,8,FALSE)),"",VLOOKUP($A477,'Plano de Contas'!#REF!,8,FALSE))</f>
        <v/>
      </c>
      <c r="P477" s="6" t="str">
        <f>IF(ISERROR(VLOOKUP($A477,'Plano de Contas'!#REF!,10,FALSE)),"",VLOOKUP($A477,'Plano de Contas'!#REF!,10,FALSE))</f>
        <v/>
      </c>
      <c r="R477" s="6" t="e">
        <f>VLOOKUP(A477,'Plano de Contas'!#REF!,12,FALSE)</f>
        <v>#REF!</v>
      </c>
      <c r="T477" s="6" t="e">
        <f>VLOOKUP(A477,'Plano de Contas'!#REF!,13,FALSE)</f>
        <v>#REF!</v>
      </c>
    </row>
    <row r="478" spans="1:20" s="5" customFormat="1" x14ac:dyDescent="0.25">
      <c r="A478" t="s">
        <v>860</v>
      </c>
      <c r="B478">
        <v>255</v>
      </c>
      <c r="C478" t="s">
        <v>861</v>
      </c>
      <c r="D478" s="10">
        <v>790222.59</v>
      </c>
      <c r="E478"/>
      <c r="F478" s="10">
        <v>60716.04</v>
      </c>
      <c r="G478"/>
      <c r="H478" s="10">
        <v>0</v>
      </c>
      <c r="I478"/>
      <c r="J478" s="10">
        <v>850938.63</v>
      </c>
      <c r="K478"/>
      <c r="L478" s="1">
        <f t="shared" si="7"/>
        <v>850938.63</v>
      </c>
      <c r="N478" s="6" t="str">
        <f>IF(ISERROR(VLOOKUP($A478,'Plano de Contas'!#REF!,8,FALSE)),"",VLOOKUP($A478,'Plano de Contas'!#REF!,8,FALSE))</f>
        <v/>
      </c>
      <c r="P478" s="6" t="str">
        <f>IF(ISERROR(VLOOKUP($A478,'Plano de Contas'!#REF!,10,FALSE)),"",VLOOKUP($A478,'Plano de Contas'!#REF!,10,FALSE))</f>
        <v/>
      </c>
      <c r="R478" s="6" t="e">
        <f>VLOOKUP(A478,'Plano de Contas'!#REF!,12,FALSE)</f>
        <v>#REF!</v>
      </c>
      <c r="T478" s="6" t="e">
        <f>VLOOKUP(A478,'Plano de Contas'!#REF!,13,FALSE)</f>
        <v>#REF!</v>
      </c>
    </row>
    <row r="479" spans="1:20" s="5" customFormat="1" x14ac:dyDescent="0.25">
      <c r="A479" t="s">
        <v>862</v>
      </c>
      <c r="B479">
        <v>256</v>
      </c>
      <c r="C479" t="s">
        <v>863</v>
      </c>
      <c r="D479" s="10">
        <v>1085282.4099999999</v>
      </c>
      <c r="E479"/>
      <c r="F479" s="10">
        <v>104923.53</v>
      </c>
      <c r="G479"/>
      <c r="H479">
        <v>-123.84</v>
      </c>
      <c r="I479"/>
      <c r="J479" s="10">
        <v>1190082.1000000001</v>
      </c>
      <c r="K479"/>
      <c r="L479" s="1">
        <f t="shared" si="7"/>
        <v>1190082.1000000001</v>
      </c>
      <c r="N479" s="6" t="str">
        <f>IF(ISERROR(VLOOKUP($A479,'Plano de Contas'!#REF!,8,FALSE)),"",VLOOKUP($A479,'Plano de Contas'!#REF!,8,FALSE))</f>
        <v/>
      </c>
      <c r="P479" s="6" t="str">
        <f>IF(ISERROR(VLOOKUP($A479,'Plano de Contas'!#REF!,10,FALSE)),"",VLOOKUP($A479,'Plano de Contas'!#REF!,10,FALSE))</f>
        <v/>
      </c>
      <c r="R479" s="6" t="e">
        <f>VLOOKUP(A479,'Plano de Contas'!#REF!,12,FALSE)</f>
        <v>#REF!</v>
      </c>
      <c r="T479" s="6" t="e">
        <f>VLOOKUP(A479,'Plano de Contas'!#REF!,13,FALSE)</f>
        <v>#REF!</v>
      </c>
    </row>
    <row r="480" spans="1:20" s="5" customFormat="1" x14ac:dyDescent="0.25">
      <c r="A480" t="s">
        <v>864</v>
      </c>
      <c r="B480">
        <v>257</v>
      </c>
      <c r="C480" t="s">
        <v>865</v>
      </c>
      <c r="D480" s="10">
        <v>3038564.34</v>
      </c>
      <c r="E480"/>
      <c r="F480" s="10">
        <v>553848.39</v>
      </c>
      <c r="G480"/>
      <c r="H480" s="10">
        <v>-1048.6500000000001</v>
      </c>
      <c r="I480"/>
      <c r="J480" s="10">
        <v>3591364.08</v>
      </c>
      <c r="K480"/>
      <c r="L480" s="1">
        <f t="shared" si="7"/>
        <v>3591364.08</v>
      </c>
      <c r="N480" s="6" t="str">
        <f>IF(ISERROR(VLOOKUP($A480,'Plano de Contas'!#REF!,8,FALSE)),"",VLOOKUP($A480,'Plano de Contas'!#REF!,8,FALSE))</f>
        <v/>
      </c>
      <c r="P480" s="6" t="str">
        <f>IF(ISERROR(VLOOKUP($A480,'Plano de Contas'!#REF!,10,FALSE)),"",VLOOKUP($A480,'Plano de Contas'!#REF!,10,FALSE))</f>
        <v/>
      </c>
      <c r="R480" s="6" t="e">
        <f>VLOOKUP(A480,'Plano de Contas'!#REF!,12,FALSE)</f>
        <v>#REF!</v>
      </c>
      <c r="T480" s="6" t="e">
        <f>VLOOKUP(A480,'Plano de Contas'!#REF!,13,FALSE)</f>
        <v>#REF!</v>
      </c>
    </row>
    <row r="481" spans="1:20" s="5" customFormat="1" x14ac:dyDescent="0.25">
      <c r="A481" t="s">
        <v>866</v>
      </c>
      <c r="B481">
        <v>258</v>
      </c>
      <c r="C481" t="s">
        <v>867</v>
      </c>
      <c r="D481" s="10">
        <v>19175648.399999999</v>
      </c>
      <c r="E481"/>
      <c r="F481" s="10">
        <v>1699543.74</v>
      </c>
      <c r="G481"/>
      <c r="H481" s="10">
        <v>0</v>
      </c>
      <c r="I481"/>
      <c r="J481" s="10">
        <v>20875192.140000001</v>
      </c>
      <c r="K481"/>
      <c r="L481" s="1">
        <f t="shared" si="7"/>
        <v>20875192.140000001</v>
      </c>
      <c r="N481" s="6" t="str">
        <f>IF(ISERROR(VLOOKUP($A481,'Plano de Contas'!#REF!,8,FALSE)),"",VLOOKUP($A481,'Plano de Contas'!#REF!,8,FALSE))</f>
        <v/>
      </c>
      <c r="P481" s="6" t="str">
        <f>IF(ISERROR(VLOOKUP($A481,'Plano de Contas'!#REF!,10,FALSE)),"",VLOOKUP($A481,'Plano de Contas'!#REF!,10,FALSE))</f>
        <v/>
      </c>
      <c r="R481" s="6" t="e">
        <f>VLOOKUP(A481,'Plano de Contas'!#REF!,12,FALSE)</f>
        <v>#REF!</v>
      </c>
      <c r="T481" s="6" t="e">
        <f>VLOOKUP(A481,'Plano de Contas'!#REF!,13,FALSE)</f>
        <v>#REF!</v>
      </c>
    </row>
    <row r="482" spans="1:20" s="5" customFormat="1" x14ac:dyDescent="0.25">
      <c r="A482" t="s">
        <v>868</v>
      </c>
      <c r="B482">
        <v>259</v>
      </c>
      <c r="C482" t="s">
        <v>869</v>
      </c>
      <c r="D482" s="10">
        <v>1036</v>
      </c>
      <c r="E482"/>
      <c r="F482" s="10">
        <v>0</v>
      </c>
      <c r="G482"/>
      <c r="H482">
        <v>0</v>
      </c>
      <c r="I482"/>
      <c r="J482" s="10">
        <v>1036</v>
      </c>
      <c r="K482"/>
      <c r="L482" s="1">
        <f t="shared" si="7"/>
        <v>1036</v>
      </c>
      <c r="N482" s="6" t="str">
        <f>IF(ISERROR(VLOOKUP($A482,'Plano de Contas'!#REF!,8,FALSE)),"",VLOOKUP($A482,'Plano de Contas'!#REF!,8,FALSE))</f>
        <v/>
      </c>
      <c r="P482" s="6" t="str">
        <f>IF(ISERROR(VLOOKUP($A482,'Plano de Contas'!#REF!,10,FALSE)),"",VLOOKUP($A482,'Plano de Contas'!#REF!,10,FALSE))</f>
        <v/>
      </c>
      <c r="R482" s="6" t="e">
        <f>VLOOKUP(A482,'Plano de Contas'!#REF!,12,FALSE)</f>
        <v>#REF!</v>
      </c>
      <c r="T482" s="6" t="e">
        <f>VLOOKUP(A482,'Plano de Contas'!#REF!,13,FALSE)</f>
        <v>#REF!</v>
      </c>
    </row>
    <row r="483" spans="1:20" s="5" customFormat="1" x14ac:dyDescent="0.25">
      <c r="A483" t="s">
        <v>870</v>
      </c>
      <c r="B483">
        <v>260</v>
      </c>
      <c r="C483" t="s">
        <v>871</v>
      </c>
      <c r="D483" s="10">
        <v>28082.19</v>
      </c>
      <c r="E483"/>
      <c r="F483" s="10">
        <v>6968.5</v>
      </c>
      <c r="G483"/>
      <c r="H483">
        <v>0</v>
      </c>
      <c r="I483"/>
      <c r="J483" s="10">
        <v>35050.69</v>
      </c>
      <c r="K483"/>
      <c r="L483" s="1">
        <f t="shared" si="7"/>
        <v>35050.69</v>
      </c>
      <c r="N483" s="6" t="str">
        <f>IF(ISERROR(VLOOKUP($A483,'Plano de Contas'!#REF!,8,FALSE)),"",VLOOKUP($A483,'Plano de Contas'!#REF!,8,FALSE))</f>
        <v/>
      </c>
      <c r="P483" s="6" t="str">
        <f>IF(ISERROR(VLOOKUP($A483,'Plano de Contas'!#REF!,10,FALSE)),"",VLOOKUP($A483,'Plano de Contas'!#REF!,10,FALSE))</f>
        <v/>
      </c>
      <c r="R483" s="6" t="e">
        <f>VLOOKUP(A483,'Plano de Contas'!#REF!,12,FALSE)</f>
        <v>#REF!</v>
      </c>
      <c r="T483" s="6" t="e">
        <f>VLOOKUP(A483,'Plano de Contas'!#REF!,13,FALSE)</f>
        <v>#REF!</v>
      </c>
    </row>
    <row r="484" spans="1:20" s="5" customFormat="1" x14ac:dyDescent="0.25">
      <c r="A484" t="s">
        <v>872</v>
      </c>
      <c r="B484">
        <v>262</v>
      </c>
      <c r="C484" t="s">
        <v>873</v>
      </c>
      <c r="D484" s="10">
        <v>332945.07</v>
      </c>
      <c r="E484"/>
      <c r="F484" s="10">
        <v>28732.66</v>
      </c>
      <c r="G484"/>
      <c r="H484" s="10">
        <v>0</v>
      </c>
      <c r="I484"/>
      <c r="J484" s="10">
        <v>361677.73</v>
      </c>
      <c r="K484"/>
      <c r="L484" s="1">
        <f t="shared" si="7"/>
        <v>361677.73</v>
      </c>
      <c r="N484" s="6" t="str">
        <f>IF(ISERROR(VLOOKUP($A484,'Plano de Contas'!#REF!,8,FALSE)),"",VLOOKUP($A484,'Plano de Contas'!#REF!,8,FALSE))</f>
        <v/>
      </c>
      <c r="P484" s="6" t="str">
        <f>IF(ISERROR(VLOOKUP($A484,'Plano de Contas'!#REF!,10,FALSE)),"",VLOOKUP($A484,'Plano de Contas'!#REF!,10,FALSE))</f>
        <v/>
      </c>
      <c r="R484" s="6" t="e">
        <f>VLOOKUP(A484,'Plano de Contas'!#REF!,12,FALSE)</f>
        <v>#REF!</v>
      </c>
      <c r="T484" s="6" t="e">
        <f>VLOOKUP(A484,'Plano de Contas'!#REF!,13,FALSE)</f>
        <v>#REF!</v>
      </c>
    </row>
    <row r="485" spans="1:20" s="5" customFormat="1" x14ac:dyDescent="0.25">
      <c r="A485" t="s">
        <v>874</v>
      </c>
      <c r="B485">
        <v>263</v>
      </c>
      <c r="C485" t="s">
        <v>875</v>
      </c>
      <c r="D485" s="10">
        <v>214536.94</v>
      </c>
      <c r="E485"/>
      <c r="F485" s="10">
        <v>12367</v>
      </c>
      <c r="G485"/>
      <c r="H485" s="10">
        <v>0</v>
      </c>
      <c r="I485"/>
      <c r="J485" s="10">
        <v>226903.94</v>
      </c>
      <c r="K485"/>
      <c r="L485" s="1">
        <f t="shared" si="7"/>
        <v>226903.94</v>
      </c>
      <c r="N485" s="6" t="str">
        <f>IF(ISERROR(VLOOKUP($A485,'Plano de Contas'!#REF!,8,FALSE)),"",VLOOKUP($A485,'Plano de Contas'!#REF!,8,FALSE))</f>
        <v/>
      </c>
      <c r="P485" s="6" t="str">
        <f>IF(ISERROR(VLOOKUP($A485,'Plano de Contas'!#REF!,10,FALSE)),"",VLOOKUP($A485,'Plano de Contas'!#REF!,10,FALSE))</f>
        <v/>
      </c>
      <c r="R485" s="6" t="e">
        <f>VLOOKUP(A485,'Plano de Contas'!#REF!,12,FALSE)</f>
        <v>#REF!</v>
      </c>
      <c r="T485" s="6" t="e">
        <f>VLOOKUP(A485,'Plano de Contas'!#REF!,13,FALSE)</f>
        <v>#REF!</v>
      </c>
    </row>
    <row r="486" spans="1:20" s="5" customFormat="1" x14ac:dyDescent="0.25">
      <c r="A486" t="s">
        <v>876</v>
      </c>
      <c r="B486">
        <v>264</v>
      </c>
      <c r="C486" t="s">
        <v>877</v>
      </c>
      <c r="D486" s="10">
        <v>2280</v>
      </c>
      <c r="E486"/>
      <c r="F486" s="10">
        <v>0</v>
      </c>
      <c r="G486"/>
      <c r="H486">
        <v>0</v>
      </c>
      <c r="I486"/>
      <c r="J486" s="10">
        <v>2280</v>
      </c>
      <c r="K486"/>
      <c r="L486" s="1">
        <f t="shared" si="7"/>
        <v>2280</v>
      </c>
      <c r="N486" s="6" t="str">
        <f>IF(ISERROR(VLOOKUP($A486,'Plano de Contas'!#REF!,8,FALSE)),"",VLOOKUP($A486,'Plano de Contas'!#REF!,8,FALSE))</f>
        <v/>
      </c>
      <c r="P486" s="6" t="str">
        <f>IF(ISERROR(VLOOKUP($A486,'Plano de Contas'!#REF!,10,FALSE)),"",VLOOKUP($A486,'Plano de Contas'!#REF!,10,FALSE))</f>
        <v/>
      </c>
      <c r="R486" s="6" t="e">
        <f>VLOOKUP(A486,'Plano de Contas'!#REF!,12,FALSE)</f>
        <v>#REF!</v>
      </c>
      <c r="T486" s="6" t="e">
        <f>VLOOKUP(A486,'Plano de Contas'!#REF!,13,FALSE)</f>
        <v>#REF!</v>
      </c>
    </row>
    <row r="487" spans="1:20" s="5" customFormat="1" x14ac:dyDescent="0.25">
      <c r="A487" t="s">
        <v>878</v>
      </c>
      <c r="B487">
        <v>265</v>
      </c>
      <c r="C487" t="s">
        <v>879</v>
      </c>
      <c r="D487" s="10">
        <v>39970.07</v>
      </c>
      <c r="E487"/>
      <c r="F487" s="10">
        <v>37719.94</v>
      </c>
      <c r="G487"/>
      <c r="H487" s="10">
        <v>0</v>
      </c>
      <c r="I487"/>
      <c r="J487" s="10">
        <v>77690.009999999995</v>
      </c>
      <c r="K487"/>
      <c r="L487" s="1">
        <f t="shared" si="7"/>
        <v>77690.009999999995</v>
      </c>
      <c r="N487" s="6" t="str">
        <f>IF(ISERROR(VLOOKUP($A487,'Plano de Contas'!#REF!,8,FALSE)),"",VLOOKUP($A487,'Plano de Contas'!#REF!,8,FALSE))</f>
        <v/>
      </c>
      <c r="P487" s="6" t="str">
        <f>IF(ISERROR(VLOOKUP($A487,'Plano de Contas'!#REF!,10,FALSE)),"",VLOOKUP($A487,'Plano de Contas'!#REF!,10,FALSE))</f>
        <v/>
      </c>
      <c r="R487" s="6" t="e">
        <f>VLOOKUP(A487,'Plano de Contas'!#REF!,12,FALSE)</f>
        <v>#REF!</v>
      </c>
      <c r="T487" s="6" t="e">
        <f>VLOOKUP(A487,'Plano de Contas'!#REF!,13,FALSE)</f>
        <v>#REF!</v>
      </c>
    </row>
    <row r="488" spans="1:20" s="5" customFormat="1" x14ac:dyDescent="0.25">
      <c r="A488" t="s">
        <v>880</v>
      </c>
      <c r="B488">
        <v>266</v>
      </c>
      <c r="C488" t="s">
        <v>881</v>
      </c>
      <c r="D488" s="10">
        <v>17527.18</v>
      </c>
      <c r="E488"/>
      <c r="F488" s="10">
        <v>885.18</v>
      </c>
      <c r="G488"/>
      <c r="H488" s="10">
        <v>0</v>
      </c>
      <c r="I488"/>
      <c r="J488" s="10">
        <v>18412.36</v>
      </c>
      <c r="K488"/>
      <c r="L488" s="1">
        <f t="shared" si="7"/>
        <v>18412.36</v>
      </c>
      <c r="N488" s="6" t="str">
        <f>IF(ISERROR(VLOOKUP($A488,'Plano de Contas'!#REF!,8,FALSE)),"",VLOOKUP($A488,'Plano de Contas'!#REF!,8,FALSE))</f>
        <v/>
      </c>
      <c r="P488" s="6" t="str">
        <f>IF(ISERROR(VLOOKUP($A488,'Plano de Contas'!#REF!,10,FALSE)),"",VLOOKUP($A488,'Plano de Contas'!#REF!,10,FALSE))</f>
        <v/>
      </c>
      <c r="R488" s="6" t="e">
        <f>VLOOKUP(A488,'Plano de Contas'!#REF!,12,FALSE)</f>
        <v>#REF!</v>
      </c>
      <c r="T488" s="6" t="e">
        <f>VLOOKUP(A488,'Plano de Contas'!#REF!,13,FALSE)</f>
        <v>#REF!</v>
      </c>
    </row>
    <row r="489" spans="1:20" s="5" customFormat="1" x14ac:dyDescent="0.25">
      <c r="A489" t="s">
        <v>882</v>
      </c>
      <c r="B489">
        <v>267</v>
      </c>
      <c r="C489" t="s">
        <v>883</v>
      </c>
      <c r="D489" s="10">
        <v>600</v>
      </c>
      <c r="E489"/>
      <c r="F489" s="10">
        <v>0</v>
      </c>
      <c r="G489"/>
      <c r="H489" s="10">
        <v>0</v>
      </c>
      <c r="I489"/>
      <c r="J489" s="10">
        <v>600</v>
      </c>
      <c r="K489"/>
      <c r="L489" s="1">
        <f t="shared" si="7"/>
        <v>600</v>
      </c>
      <c r="N489" s="6" t="str">
        <f>IF(ISERROR(VLOOKUP($A489,'Plano de Contas'!#REF!,8,FALSE)),"",VLOOKUP($A489,'Plano de Contas'!#REF!,8,FALSE))</f>
        <v/>
      </c>
      <c r="P489" s="6" t="str">
        <f>IF(ISERROR(VLOOKUP($A489,'Plano de Contas'!#REF!,10,FALSE)),"",VLOOKUP($A489,'Plano de Contas'!#REF!,10,FALSE))</f>
        <v/>
      </c>
      <c r="R489" s="6" t="e">
        <f>VLOOKUP(A489,'Plano de Contas'!#REF!,12,FALSE)</f>
        <v>#REF!</v>
      </c>
      <c r="T489" s="6" t="e">
        <f>VLOOKUP(A489,'Plano de Contas'!#REF!,13,FALSE)</f>
        <v>#REF!</v>
      </c>
    </row>
    <row r="490" spans="1:20" s="5" customFormat="1" x14ac:dyDescent="0.25">
      <c r="A490" t="s">
        <v>884</v>
      </c>
      <c r="B490">
        <v>268</v>
      </c>
      <c r="C490" t="s">
        <v>885</v>
      </c>
      <c r="D490" s="10">
        <v>13257.5</v>
      </c>
      <c r="E490"/>
      <c r="F490" s="10">
        <v>0</v>
      </c>
      <c r="G490"/>
      <c r="H490" s="10">
        <v>0</v>
      </c>
      <c r="I490"/>
      <c r="J490" s="10">
        <v>13257.5</v>
      </c>
      <c r="K490"/>
      <c r="L490" s="1">
        <f t="shared" si="7"/>
        <v>13257.5</v>
      </c>
      <c r="N490" s="6" t="str">
        <f>IF(ISERROR(VLOOKUP($A490,'Plano de Contas'!#REF!,8,FALSE)),"",VLOOKUP($A490,'Plano de Contas'!#REF!,8,FALSE))</f>
        <v/>
      </c>
      <c r="P490" s="6" t="str">
        <f>IF(ISERROR(VLOOKUP($A490,'Plano de Contas'!#REF!,10,FALSE)),"",VLOOKUP($A490,'Plano de Contas'!#REF!,10,FALSE))</f>
        <v/>
      </c>
      <c r="R490" s="6" t="e">
        <f>VLOOKUP(A490,'Plano de Contas'!#REF!,12,FALSE)</f>
        <v>#REF!</v>
      </c>
      <c r="T490" s="6" t="e">
        <f>VLOOKUP(A490,'Plano de Contas'!#REF!,13,FALSE)</f>
        <v>#REF!</v>
      </c>
    </row>
    <row r="491" spans="1:20" s="5" customFormat="1" x14ac:dyDescent="0.25">
      <c r="A491" t="s">
        <v>886</v>
      </c>
      <c r="B491">
        <v>269</v>
      </c>
      <c r="C491" t="s">
        <v>887</v>
      </c>
      <c r="D491" s="10">
        <v>84804.73</v>
      </c>
      <c r="E491"/>
      <c r="F491" s="10">
        <v>0</v>
      </c>
      <c r="G491"/>
      <c r="H491">
        <v>0</v>
      </c>
      <c r="I491"/>
      <c r="J491" s="10">
        <v>84804.73</v>
      </c>
      <c r="K491"/>
      <c r="L491" s="1">
        <f t="shared" si="7"/>
        <v>84804.73</v>
      </c>
      <c r="N491" s="6" t="str">
        <f>IF(ISERROR(VLOOKUP($A491,'Plano de Contas'!#REF!,8,FALSE)),"",VLOOKUP($A491,'Plano de Contas'!#REF!,8,FALSE))</f>
        <v/>
      </c>
      <c r="P491" s="6" t="str">
        <f>IF(ISERROR(VLOOKUP($A491,'Plano de Contas'!#REF!,10,FALSE)),"",VLOOKUP($A491,'Plano de Contas'!#REF!,10,FALSE))</f>
        <v/>
      </c>
      <c r="R491" s="6" t="e">
        <f>VLOOKUP(A491,'Plano de Contas'!#REF!,12,FALSE)</f>
        <v>#REF!</v>
      </c>
      <c r="T491" s="6" t="e">
        <f>VLOOKUP(A491,'Plano de Contas'!#REF!,13,FALSE)</f>
        <v>#REF!</v>
      </c>
    </row>
    <row r="492" spans="1:20" s="5" customFormat="1" x14ac:dyDescent="0.25">
      <c r="A492" t="s">
        <v>888</v>
      </c>
      <c r="B492">
        <v>270</v>
      </c>
      <c r="C492" t="s">
        <v>889</v>
      </c>
      <c r="D492" s="10">
        <v>287846.94</v>
      </c>
      <c r="E492"/>
      <c r="F492" s="10">
        <v>1860.35</v>
      </c>
      <c r="G492"/>
      <c r="H492" s="10">
        <v>1134.6600000000001</v>
      </c>
      <c r="I492" t="s">
        <v>35</v>
      </c>
      <c r="J492" s="10">
        <v>288572.63</v>
      </c>
      <c r="K492"/>
      <c r="L492" s="1">
        <f t="shared" si="7"/>
        <v>288572.63</v>
      </c>
      <c r="N492" s="6" t="str">
        <f>IF(ISERROR(VLOOKUP($A492,'Plano de Contas'!#REF!,8,FALSE)),"",VLOOKUP($A492,'Plano de Contas'!#REF!,8,FALSE))</f>
        <v/>
      </c>
      <c r="P492" s="6" t="str">
        <f>IF(ISERROR(VLOOKUP($A492,'Plano de Contas'!#REF!,10,FALSE)),"",VLOOKUP($A492,'Plano de Contas'!#REF!,10,FALSE))</f>
        <v/>
      </c>
      <c r="R492" s="6" t="e">
        <f>VLOOKUP(A492,'Plano de Contas'!#REF!,12,FALSE)</f>
        <v>#REF!</v>
      </c>
      <c r="T492" s="6" t="e">
        <f>VLOOKUP(A492,'Plano de Contas'!#REF!,13,FALSE)</f>
        <v>#REF!</v>
      </c>
    </row>
    <row r="493" spans="1:20" s="5" customFormat="1" x14ac:dyDescent="0.25">
      <c r="A493" t="s">
        <v>890</v>
      </c>
      <c r="B493">
        <v>272</v>
      </c>
      <c r="C493" t="s">
        <v>891</v>
      </c>
      <c r="D493" s="10">
        <v>2922.85</v>
      </c>
      <c r="E493"/>
      <c r="F493" s="10">
        <v>643.37</v>
      </c>
      <c r="G493"/>
      <c r="H493" s="10">
        <v>0</v>
      </c>
      <c r="I493"/>
      <c r="J493" s="10">
        <v>3566.22</v>
      </c>
      <c r="K493"/>
      <c r="L493" s="1">
        <f t="shared" si="7"/>
        <v>3566.22</v>
      </c>
      <c r="N493" s="6" t="str">
        <f>IF(ISERROR(VLOOKUP($A493,'Plano de Contas'!#REF!,8,FALSE)),"",VLOOKUP($A493,'Plano de Contas'!#REF!,8,FALSE))</f>
        <v/>
      </c>
      <c r="P493" s="6" t="str">
        <f>IF(ISERROR(VLOOKUP($A493,'Plano de Contas'!#REF!,10,FALSE)),"",VLOOKUP($A493,'Plano de Contas'!#REF!,10,FALSE))</f>
        <v/>
      </c>
      <c r="R493" s="6" t="e">
        <f>VLOOKUP(A493,'Plano de Contas'!#REF!,12,FALSE)</f>
        <v>#REF!</v>
      </c>
      <c r="T493" s="6" t="e">
        <f>VLOOKUP(A493,'Plano de Contas'!#REF!,13,FALSE)</f>
        <v>#REF!</v>
      </c>
    </row>
    <row r="494" spans="1:20" s="5" customFormat="1" x14ac:dyDescent="0.25">
      <c r="A494" t="s">
        <v>892</v>
      </c>
      <c r="B494">
        <v>273</v>
      </c>
      <c r="C494" t="s">
        <v>893</v>
      </c>
      <c r="D494" s="10">
        <v>4409.26</v>
      </c>
      <c r="E494"/>
      <c r="F494" s="10">
        <v>0</v>
      </c>
      <c r="G494"/>
      <c r="H494" s="10">
        <v>0</v>
      </c>
      <c r="I494"/>
      <c r="J494" s="10">
        <v>4409.26</v>
      </c>
      <c r="K494"/>
      <c r="L494" s="1">
        <f t="shared" si="7"/>
        <v>4409.26</v>
      </c>
      <c r="N494" s="6" t="str">
        <f>IF(ISERROR(VLOOKUP($A494,'Plano de Contas'!#REF!,8,FALSE)),"",VLOOKUP($A494,'Plano de Contas'!#REF!,8,FALSE))</f>
        <v/>
      </c>
      <c r="P494" s="6" t="str">
        <f>IF(ISERROR(VLOOKUP($A494,'Plano de Contas'!#REF!,10,FALSE)),"",VLOOKUP($A494,'Plano de Contas'!#REF!,10,FALSE))</f>
        <v/>
      </c>
      <c r="R494" s="6" t="e">
        <f>VLOOKUP(A494,'Plano de Contas'!#REF!,12,FALSE)</f>
        <v>#REF!</v>
      </c>
      <c r="T494" s="6" t="e">
        <f>VLOOKUP(A494,'Plano de Contas'!#REF!,13,FALSE)</f>
        <v>#REF!</v>
      </c>
    </row>
    <row r="495" spans="1:20" s="5" customFormat="1" x14ac:dyDescent="0.25">
      <c r="A495" t="s">
        <v>894</v>
      </c>
      <c r="B495">
        <v>274</v>
      </c>
      <c r="C495" t="s">
        <v>895</v>
      </c>
      <c r="D495" s="10">
        <v>7198.62</v>
      </c>
      <c r="E495"/>
      <c r="F495" s="10">
        <v>0</v>
      </c>
      <c r="G495"/>
      <c r="H495" s="10">
        <v>0</v>
      </c>
      <c r="I495"/>
      <c r="J495" s="10">
        <v>7198.62</v>
      </c>
      <c r="K495"/>
      <c r="L495" s="1">
        <f t="shared" si="7"/>
        <v>7198.62</v>
      </c>
      <c r="N495" s="6" t="str">
        <f>IF(ISERROR(VLOOKUP($A495,'Plano de Contas'!#REF!,8,FALSE)),"",VLOOKUP($A495,'Plano de Contas'!#REF!,8,FALSE))</f>
        <v/>
      </c>
      <c r="P495" s="6" t="str">
        <f>IF(ISERROR(VLOOKUP($A495,'Plano de Contas'!#REF!,10,FALSE)),"",VLOOKUP($A495,'Plano de Contas'!#REF!,10,FALSE))</f>
        <v/>
      </c>
      <c r="R495" s="6" t="e">
        <f>VLOOKUP(A495,'Plano de Contas'!#REF!,12,FALSE)</f>
        <v>#REF!</v>
      </c>
      <c r="T495" s="6" t="e">
        <f>VLOOKUP(A495,'Plano de Contas'!#REF!,13,FALSE)</f>
        <v>#REF!</v>
      </c>
    </row>
    <row r="496" spans="1:20" s="5" customFormat="1" x14ac:dyDescent="0.25">
      <c r="A496" t="s">
        <v>896</v>
      </c>
      <c r="B496">
        <v>275</v>
      </c>
      <c r="C496" t="s">
        <v>897</v>
      </c>
      <c r="D496" s="10">
        <v>3334.32</v>
      </c>
      <c r="E496"/>
      <c r="F496" s="10">
        <v>0</v>
      </c>
      <c r="G496"/>
      <c r="H496">
        <v>0</v>
      </c>
      <c r="I496"/>
      <c r="J496" s="10">
        <v>3334.32</v>
      </c>
      <c r="K496"/>
      <c r="L496" s="1">
        <f t="shared" si="7"/>
        <v>3334.32</v>
      </c>
      <c r="N496" s="6" t="str">
        <f>IF(ISERROR(VLOOKUP($A496,'Plano de Contas'!#REF!,8,FALSE)),"",VLOOKUP($A496,'Plano de Contas'!#REF!,8,FALSE))</f>
        <v/>
      </c>
      <c r="P496" s="6" t="str">
        <f>IF(ISERROR(VLOOKUP($A496,'Plano de Contas'!#REF!,10,FALSE)),"",VLOOKUP($A496,'Plano de Contas'!#REF!,10,FALSE))</f>
        <v/>
      </c>
      <c r="R496" s="6" t="e">
        <f>VLOOKUP(A496,'Plano de Contas'!#REF!,12,FALSE)</f>
        <v>#REF!</v>
      </c>
      <c r="T496" s="6" t="e">
        <f>VLOOKUP(A496,'Plano de Contas'!#REF!,13,FALSE)</f>
        <v>#REF!</v>
      </c>
    </row>
    <row r="497" spans="1:20" s="5" customFormat="1" x14ac:dyDescent="0.25">
      <c r="A497" t="s">
        <v>898</v>
      </c>
      <c r="B497">
        <v>276</v>
      </c>
      <c r="C497" t="s">
        <v>899</v>
      </c>
      <c r="D497" s="10">
        <v>188037.68</v>
      </c>
      <c r="E497"/>
      <c r="F497" s="10">
        <v>23667.26</v>
      </c>
      <c r="G497"/>
      <c r="H497" s="10">
        <v>1921.01</v>
      </c>
      <c r="I497" t="s">
        <v>35</v>
      </c>
      <c r="J497" s="10">
        <v>209783.93</v>
      </c>
      <c r="K497"/>
      <c r="L497" s="1">
        <f t="shared" si="7"/>
        <v>209783.93</v>
      </c>
      <c r="N497" s="6" t="str">
        <f>IF(ISERROR(VLOOKUP($A497,'Plano de Contas'!#REF!,8,FALSE)),"",VLOOKUP($A497,'Plano de Contas'!#REF!,8,FALSE))</f>
        <v/>
      </c>
      <c r="P497" s="6" t="str">
        <f>IF(ISERROR(VLOOKUP($A497,'Plano de Contas'!#REF!,10,FALSE)),"",VLOOKUP($A497,'Plano de Contas'!#REF!,10,FALSE))</f>
        <v/>
      </c>
      <c r="R497" s="6" t="e">
        <f>VLOOKUP(A497,'Plano de Contas'!#REF!,12,FALSE)</f>
        <v>#REF!</v>
      </c>
      <c r="T497" s="6" t="e">
        <f>VLOOKUP(A497,'Plano de Contas'!#REF!,13,FALSE)</f>
        <v>#REF!</v>
      </c>
    </row>
    <row r="498" spans="1:20" s="5" customFormat="1" x14ac:dyDescent="0.25">
      <c r="A498" t="s">
        <v>900</v>
      </c>
      <c r="B498">
        <v>426</v>
      </c>
      <c r="C498" t="s">
        <v>901</v>
      </c>
      <c r="D498" s="10">
        <v>214927.65</v>
      </c>
      <c r="E498"/>
      <c r="F498" s="10">
        <v>0</v>
      </c>
      <c r="G498"/>
      <c r="H498">
        <v>0</v>
      </c>
      <c r="I498"/>
      <c r="J498" s="10">
        <v>214927.65</v>
      </c>
      <c r="K498"/>
      <c r="L498" s="1">
        <f t="shared" si="7"/>
        <v>214927.65</v>
      </c>
      <c r="N498" s="6" t="str">
        <f>IF(ISERROR(VLOOKUP($A498,'Plano de Contas'!#REF!,8,FALSE)),"",VLOOKUP($A498,'Plano de Contas'!#REF!,8,FALSE))</f>
        <v/>
      </c>
      <c r="P498" s="6" t="str">
        <f>IF(ISERROR(VLOOKUP($A498,'Plano de Contas'!#REF!,10,FALSE)),"",VLOOKUP($A498,'Plano de Contas'!#REF!,10,FALSE))</f>
        <v/>
      </c>
      <c r="R498" s="6" t="e">
        <f>VLOOKUP(A498,'Plano de Contas'!#REF!,12,FALSE)</f>
        <v>#REF!</v>
      </c>
      <c r="T498" s="6" t="e">
        <f>VLOOKUP(A498,'Plano de Contas'!#REF!,13,FALSE)</f>
        <v>#REF!</v>
      </c>
    </row>
    <row r="499" spans="1:20" s="5" customFormat="1" x14ac:dyDescent="0.25">
      <c r="A499" t="s">
        <v>902</v>
      </c>
      <c r="B499">
        <v>439</v>
      </c>
      <c r="C499" t="s">
        <v>903</v>
      </c>
      <c r="D499" s="10">
        <v>-6567.83</v>
      </c>
      <c r="E499"/>
      <c r="F499" s="10">
        <v>0</v>
      </c>
      <c r="G499"/>
      <c r="H499" s="10">
        <v>0</v>
      </c>
      <c r="I499"/>
      <c r="J499" s="10">
        <v>-6567.83</v>
      </c>
      <c r="K499"/>
      <c r="L499" s="1">
        <f t="shared" si="7"/>
        <v>-6567.83</v>
      </c>
      <c r="N499" s="6" t="str">
        <f>IF(ISERROR(VLOOKUP($A499,'Plano de Contas'!#REF!,8,FALSE)),"",VLOOKUP($A499,'Plano de Contas'!#REF!,8,FALSE))</f>
        <v/>
      </c>
      <c r="P499" s="6" t="str">
        <f>IF(ISERROR(VLOOKUP($A499,'Plano de Contas'!#REF!,10,FALSE)),"",VLOOKUP($A499,'Plano de Contas'!#REF!,10,FALSE))</f>
        <v/>
      </c>
      <c r="R499" s="6" t="e">
        <f>VLOOKUP(A499,'Plano de Contas'!#REF!,12,FALSE)</f>
        <v>#REF!</v>
      </c>
      <c r="T499" s="6" t="e">
        <f>VLOOKUP(A499,'Plano de Contas'!#REF!,13,FALSE)</f>
        <v>#REF!</v>
      </c>
    </row>
    <row r="500" spans="1:20" s="5" customFormat="1" x14ac:dyDescent="0.25">
      <c r="A500" t="s">
        <v>904</v>
      </c>
      <c r="B500">
        <v>551</v>
      </c>
      <c r="C500" t="s">
        <v>905</v>
      </c>
      <c r="D500" s="10">
        <v>2619059.25</v>
      </c>
      <c r="E500"/>
      <c r="F500" s="10">
        <v>237922.52</v>
      </c>
      <c r="G500"/>
      <c r="H500">
        <v>0</v>
      </c>
      <c r="I500"/>
      <c r="J500" s="10">
        <v>2856981.77</v>
      </c>
      <c r="K500"/>
      <c r="L500" s="1">
        <f t="shared" si="7"/>
        <v>2856981.77</v>
      </c>
      <c r="N500" s="6" t="str">
        <f>IF(ISERROR(VLOOKUP($A500,'Plano de Contas'!#REF!,8,FALSE)),"",VLOOKUP($A500,'Plano de Contas'!#REF!,8,FALSE))</f>
        <v/>
      </c>
      <c r="P500" s="6" t="str">
        <f>IF(ISERROR(VLOOKUP($A500,'Plano de Contas'!#REF!,10,FALSE)),"",VLOOKUP($A500,'Plano de Contas'!#REF!,10,FALSE))</f>
        <v/>
      </c>
      <c r="R500" s="6" t="e">
        <f>VLOOKUP(A500,'Plano de Contas'!#REF!,12,FALSE)</f>
        <v>#REF!</v>
      </c>
      <c r="T500" s="6" t="e">
        <f>VLOOKUP(A500,'Plano de Contas'!#REF!,13,FALSE)</f>
        <v>#REF!</v>
      </c>
    </row>
    <row r="501" spans="1:20" s="5" customFormat="1" x14ac:dyDescent="0.25">
      <c r="A501" t="s">
        <v>906</v>
      </c>
      <c r="B501">
        <v>560</v>
      </c>
      <c r="C501" t="s">
        <v>907</v>
      </c>
      <c r="D501" s="10">
        <v>139773.37</v>
      </c>
      <c r="E501"/>
      <c r="F501" s="10">
        <v>34460</v>
      </c>
      <c r="G501"/>
      <c r="H501" s="10">
        <v>-1607.6</v>
      </c>
      <c r="I501"/>
      <c r="J501" s="10">
        <v>172625.77</v>
      </c>
      <c r="K501"/>
      <c r="L501" s="1">
        <f t="shared" si="7"/>
        <v>172625.77</v>
      </c>
      <c r="N501" s="6" t="str">
        <f>IF(ISERROR(VLOOKUP($A501,'Plano de Contas'!#REF!,8,FALSE)),"",VLOOKUP($A501,'Plano de Contas'!#REF!,8,FALSE))</f>
        <v/>
      </c>
      <c r="P501" s="6" t="str">
        <f>IF(ISERROR(VLOOKUP($A501,'Plano de Contas'!#REF!,10,FALSE)),"",VLOOKUP($A501,'Plano de Contas'!#REF!,10,FALSE))</f>
        <v/>
      </c>
      <c r="R501" s="6" t="e">
        <f>VLOOKUP(A501,'Plano de Contas'!#REF!,12,FALSE)</f>
        <v>#REF!</v>
      </c>
      <c r="T501" s="6" t="e">
        <f>VLOOKUP(A501,'Plano de Contas'!#REF!,13,FALSE)</f>
        <v>#REF!</v>
      </c>
    </row>
    <row r="502" spans="1:20" s="5" customFormat="1" x14ac:dyDescent="0.25">
      <c r="A502" t="s">
        <v>910</v>
      </c>
      <c r="B502">
        <v>721</v>
      </c>
      <c r="C502" t="s">
        <v>911</v>
      </c>
      <c r="D502" s="10">
        <v>65113.59</v>
      </c>
      <c r="E502"/>
      <c r="F502" s="10">
        <v>8010.45</v>
      </c>
      <c r="G502"/>
      <c r="H502" s="10">
        <v>0</v>
      </c>
      <c r="I502"/>
      <c r="J502" s="10">
        <v>73124.039999999994</v>
      </c>
      <c r="K502"/>
      <c r="L502" s="1">
        <f t="shared" si="7"/>
        <v>73124.039999999994</v>
      </c>
      <c r="N502" s="6" t="str">
        <f>IF(ISERROR(VLOOKUP($A502,'Plano de Contas'!#REF!,8,FALSE)),"",VLOOKUP($A502,'Plano de Contas'!#REF!,8,FALSE))</f>
        <v/>
      </c>
      <c r="P502" s="6" t="str">
        <f>IF(ISERROR(VLOOKUP($A502,'Plano de Contas'!#REF!,10,FALSE)),"",VLOOKUP($A502,'Plano de Contas'!#REF!,10,FALSE))</f>
        <v/>
      </c>
      <c r="R502" s="6" t="e">
        <f>VLOOKUP(A502,'Plano de Contas'!#REF!,12,FALSE)</f>
        <v>#REF!</v>
      </c>
      <c r="T502" s="6" t="e">
        <f>VLOOKUP(A502,'Plano de Contas'!#REF!,13,FALSE)</f>
        <v>#REF!</v>
      </c>
    </row>
    <row r="503" spans="1:20" s="5" customFormat="1" x14ac:dyDescent="0.25">
      <c r="A503" t="s">
        <v>912</v>
      </c>
      <c r="B503">
        <v>912</v>
      </c>
      <c r="C503" t="s">
        <v>913</v>
      </c>
      <c r="D503" s="10">
        <v>1008259.04</v>
      </c>
      <c r="E503" t="s">
        <v>35</v>
      </c>
      <c r="F503" s="10">
        <v>94417.62</v>
      </c>
      <c r="G503"/>
      <c r="H503" s="10">
        <v>463556.3</v>
      </c>
      <c r="I503" t="s">
        <v>35</v>
      </c>
      <c r="J503" s="10">
        <v>1377397.72</v>
      </c>
      <c r="K503" t="s">
        <v>35</v>
      </c>
      <c r="L503" s="1">
        <f t="shared" si="7"/>
        <v>-1377397.72</v>
      </c>
      <c r="N503" s="6" t="str">
        <f>IF(ISERROR(VLOOKUP($A503,'Plano de Contas'!#REF!,8,FALSE)),"",VLOOKUP($A503,'Plano de Contas'!#REF!,8,FALSE))</f>
        <v/>
      </c>
      <c r="P503" s="6" t="str">
        <f>IF(ISERROR(VLOOKUP($A503,'Plano de Contas'!#REF!,10,FALSE)),"",VLOOKUP($A503,'Plano de Contas'!#REF!,10,FALSE))</f>
        <v/>
      </c>
      <c r="R503" s="6" t="e">
        <f>VLOOKUP(A503,'Plano de Contas'!#REF!,12,FALSE)</f>
        <v>#REF!</v>
      </c>
      <c r="T503" s="6" t="e">
        <f>VLOOKUP(A503,'Plano de Contas'!#REF!,13,FALSE)</f>
        <v>#REF!</v>
      </c>
    </row>
    <row r="504" spans="1:20" s="5" customFormat="1" x14ac:dyDescent="0.25">
      <c r="A504" t="s">
        <v>1066</v>
      </c>
      <c r="B504">
        <v>976</v>
      </c>
      <c r="C504" t="s">
        <v>1067</v>
      </c>
      <c r="D504" s="10">
        <v>462545.1</v>
      </c>
      <c r="E504"/>
      <c r="F504" s="10">
        <v>0</v>
      </c>
      <c r="G504"/>
      <c r="H504" s="10">
        <v>0</v>
      </c>
      <c r="I504"/>
      <c r="J504" s="10">
        <v>462545.1</v>
      </c>
      <c r="K504"/>
      <c r="L504" s="1">
        <f t="shared" si="7"/>
        <v>462545.1</v>
      </c>
      <c r="N504" s="6" t="str">
        <f>IF(ISERROR(VLOOKUP($A504,'Plano de Contas'!#REF!,8,FALSE)),"",VLOOKUP($A504,'Plano de Contas'!#REF!,8,FALSE))</f>
        <v/>
      </c>
      <c r="P504" s="6" t="str">
        <f>IF(ISERROR(VLOOKUP($A504,'Plano de Contas'!#REF!,10,FALSE)),"",VLOOKUP($A504,'Plano de Contas'!#REF!,10,FALSE))</f>
        <v/>
      </c>
      <c r="R504" s="6" t="e">
        <f>VLOOKUP(A504,'Plano de Contas'!#REF!,12,FALSE)</f>
        <v>#REF!</v>
      </c>
      <c r="T504" s="6" t="e">
        <f>VLOOKUP(A504,'Plano de Contas'!#REF!,13,FALSE)</f>
        <v>#REF!</v>
      </c>
    </row>
    <row r="505" spans="1:20" s="5" customFormat="1" x14ac:dyDescent="0.25">
      <c r="A505" t="s">
        <v>1227</v>
      </c>
      <c r="B505">
        <v>451</v>
      </c>
      <c r="C505" t="s">
        <v>1228</v>
      </c>
      <c r="D505" s="10">
        <v>0</v>
      </c>
      <c r="E505"/>
      <c r="F505" s="10">
        <v>8772641.1899999995</v>
      </c>
      <c r="G505"/>
      <c r="H505" s="10">
        <v>0</v>
      </c>
      <c r="I505"/>
      <c r="J505" s="10">
        <v>8772641.1899999995</v>
      </c>
      <c r="K505"/>
      <c r="L505" s="1">
        <f t="shared" si="7"/>
        <v>8772641.1899999995</v>
      </c>
      <c r="N505" s="6" t="str">
        <f>IF(ISERROR(VLOOKUP($A505,'Plano de Contas'!#REF!,8,FALSE)),"",VLOOKUP($A505,'Plano de Contas'!#REF!,8,FALSE))</f>
        <v/>
      </c>
      <c r="P505" s="6" t="str">
        <f>IF(ISERROR(VLOOKUP($A505,'Plano de Contas'!#REF!,10,FALSE)),"",VLOOKUP($A505,'Plano de Contas'!#REF!,10,FALSE))</f>
        <v/>
      </c>
      <c r="R505" s="6" t="e">
        <f>VLOOKUP(A505,'Plano de Contas'!#REF!,12,FALSE)</f>
        <v>#REF!</v>
      </c>
      <c r="T505" s="6" t="e">
        <f>VLOOKUP(A505,'Plano de Contas'!#REF!,13,FALSE)</f>
        <v>#REF!</v>
      </c>
    </row>
    <row r="506" spans="1:20" s="5" customFormat="1" x14ac:dyDescent="0.25">
      <c r="A506" t="s">
        <v>916</v>
      </c>
      <c r="B506">
        <v>467</v>
      </c>
      <c r="C506" t="s">
        <v>917</v>
      </c>
      <c r="D506" s="10">
        <v>635398.57999999996</v>
      </c>
      <c r="E506"/>
      <c r="F506" s="10">
        <v>102450</v>
      </c>
      <c r="G506"/>
      <c r="H506" s="10">
        <v>-21500</v>
      </c>
      <c r="I506"/>
      <c r="J506" s="10">
        <v>716348.58</v>
      </c>
      <c r="K506"/>
      <c r="L506" s="1">
        <f t="shared" si="7"/>
        <v>716348.58</v>
      </c>
      <c r="N506" s="6" t="str">
        <f>IF(ISERROR(VLOOKUP($A506,'Plano de Contas'!#REF!,8,FALSE)),"",VLOOKUP($A506,'Plano de Contas'!#REF!,8,FALSE))</f>
        <v/>
      </c>
      <c r="P506" s="6" t="str">
        <f>IF(ISERROR(VLOOKUP($A506,'Plano de Contas'!#REF!,10,FALSE)),"",VLOOKUP($A506,'Plano de Contas'!#REF!,10,FALSE))</f>
        <v/>
      </c>
      <c r="R506" s="6" t="e">
        <f>VLOOKUP(A506,'Plano de Contas'!#REF!,12,FALSE)</f>
        <v>#REF!</v>
      </c>
      <c r="T506" s="6" t="e">
        <f>VLOOKUP(A506,'Plano de Contas'!#REF!,13,FALSE)</f>
        <v>#REF!</v>
      </c>
    </row>
    <row r="507" spans="1:20" s="5" customFormat="1" x14ac:dyDescent="0.25">
      <c r="A507" t="s">
        <v>1070</v>
      </c>
      <c r="B507">
        <v>958</v>
      </c>
      <c r="C507" t="s">
        <v>1071</v>
      </c>
      <c r="D507" s="10">
        <v>7000</v>
      </c>
      <c r="E507" t="s">
        <v>35</v>
      </c>
      <c r="F507" s="10">
        <v>0</v>
      </c>
      <c r="G507"/>
      <c r="H507" s="10">
        <v>0</v>
      </c>
      <c r="I507"/>
      <c r="J507" s="10">
        <v>7000</v>
      </c>
      <c r="K507" t="s">
        <v>35</v>
      </c>
      <c r="L507" s="1">
        <f t="shared" si="7"/>
        <v>-7000</v>
      </c>
      <c r="N507" s="6" t="str">
        <f>IF(ISERROR(VLOOKUP($A507,'Plano de Contas'!#REF!,8,FALSE)),"",VLOOKUP($A507,'Plano de Contas'!#REF!,8,FALSE))</f>
        <v/>
      </c>
      <c r="P507" s="6" t="str">
        <f>IF(ISERROR(VLOOKUP($A507,'Plano de Contas'!#REF!,10,FALSE)),"",VLOOKUP($A507,'Plano de Contas'!#REF!,10,FALSE))</f>
        <v/>
      </c>
      <c r="R507" s="6" t="e">
        <f>VLOOKUP(A507,'Plano de Contas'!#REF!,12,FALSE)</f>
        <v>#REF!</v>
      </c>
      <c r="T507" s="6" t="e">
        <f>VLOOKUP(A507,'Plano de Contas'!#REF!,13,FALSE)</f>
        <v>#REF!</v>
      </c>
    </row>
    <row r="508" spans="1:20" s="5" customFormat="1" x14ac:dyDescent="0.25">
      <c r="A508" t="s">
        <v>1229</v>
      </c>
      <c r="B508">
        <v>1064</v>
      </c>
      <c r="C508" t="s">
        <v>1230</v>
      </c>
      <c r="D508" s="10">
        <v>8768555.5099999998</v>
      </c>
      <c r="E508"/>
      <c r="F508" s="10">
        <v>797141.41</v>
      </c>
      <c r="G508"/>
      <c r="H508" s="10">
        <v>0</v>
      </c>
      <c r="I508"/>
      <c r="J508" s="10">
        <v>9565696.9199999999</v>
      </c>
      <c r="K508"/>
      <c r="L508" s="1">
        <f t="shared" si="7"/>
        <v>9565696.9199999999</v>
      </c>
      <c r="N508" s="6" t="str">
        <f>IF(ISERROR(VLOOKUP($A508,'Plano de Contas'!#REF!,8,FALSE)),"",VLOOKUP($A508,'Plano de Contas'!#REF!,8,FALSE))</f>
        <v/>
      </c>
      <c r="P508" s="6" t="str">
        <f>IF(ISERROR(VLOOKUP($A508,'Plano de Contas'!#REF!,10,FALSE)),"",VLOOKUP($A508,'Plano de Contas'!#REF!,10,FALSE))</f>
        <v/>
      </c>
      <c r="R508" s="6" t="e">
        <f>VLOOKUP(A508,'Plano de Contas'!#REF!,12,FALSE)</f>
        <v>#REF!</v>
      </c>
      <c r="T508" s="6" t="e">
        <f>VLOOKUP(A508,'Plano de Contas'!#REF!,13,FALSE)</f>
        <v>#REF!</v>
      </c>
    </row>
    <row r="509" spans="1:20" s="5" customFormat="1" x14ac:dyDescent="0.25">
      <c r="A509" t="s">
        <v>918</v>
      </c>
      <c r="B509">
        <v>490</v>
      </c>
      <c r="C509" t="s">
        <v>919</v>
      </c>
      <c r="D509" s="10">
        <v>-183621.9</v>
      </c>
      <c r="E509"/>
      <c r="F509" s="10">
        <v>0</v>
      </c>
      <c r="G509"/>
      <c r="H509" s="10">
        <v>-18284.77</v>
      </c>
      <c r="I509"/>
      <c r="J509" s="10">
        <v>-201906.67</v>
      </c>
      <c r="K509"/>
      <c r="L509" s="1">
        <f t="shared" si="7"/>
        <v>-201906.67</v>
      </c>
      <c r="N509" s="6" t="str">
        <f>IF(ISERROR(VLOOKUP($A509,'Plano de Contas'!#REF!,8,FALSE)),"",VLOOKUP($A509,'Plano de Contas'!#REF!,8,FALSE))</f>
        <v/>
      </c>
      <c r="P509" s="6" t="str">
        <f>IF(ISERROR(VLOOKUP($A509,'Plano de Contas'!#REF!,10,FALSE)),"",VLOOKUP($A509,'Plano de Contas'!#REF!,10,FALSE))</f>
        <v/>
      </c>
      <c r="R509" s="6" t="e">
        <f>VLOOKUP(A509,'Plano de Contas'!#REF!,12,FALSE)</f>
        <v>#REF!</v>
      </c>
      <c r="T509" s="6" t="e">
        <f>VLOOKUP(A509,'Plano de Contas'!#REF!,13,FALSE)</f>
        <v>#REF!</v>
      </c>
    </row>
    <row r="510" spans="1:20" s="5" customFormat="1" x14ac:dyDescent="0.25">
      <c r="A510"/>
      <c r="B510"/>
      <c r="C510"/>
      <c r="D510" s="10"/>
      <c r="E510"/>
      <c r="F510" s="10"/>
      <c r="G510"/>
      <c r="H510" s="10"/>
      <c r="I510"/>
      <c r="J510" s="10"/>
      <c r="K510"/>
      <c r="L510" s="1">
        <f t="shared" si="7"/>
        <v>0</v>
      </c>
      <c r="N510" s="6" t="str">
        <f>IF(ISERROR(VLOOKUP($A510,'Plano de Contas'!#REF!,8,FALSE)),"",VLOOKUP($A510,'Plano de Contas'!#REF!,8,FALSE))</f>
        <v/>
      </c>
      <c r="P510" s="6" t="str">
        <f>IF(ISERROR(VLOOKUP($A510,'Plano de Contas'!#REF!,10,FALSE)),"",VLOOKUP($A510,'Plano de Contas'!#REF!,10,FALSE))</f>
        <v/>
      </c>
      <c r="R510" s="6" t="e">
        <f>VLOOKUP(A510,'Plano de Contas'!#REF!,12,FALSE)</f>
        <v>#REF!</v>
      </c>
      <c r="T510" s="6" t="e">
        <f>VLOOKUP(A510,'Plano de Contas'!#REF!,13,FALSE)</f>
        <v>#REF!</v>
      </c>
    </row>
    <row r="511" spans="1:20" s="5" customFormat="1" x14ac:dyDescent="0.25">
      <c r="A511" t="s">
        <v>920</v>
      </c>
      <c r="B511">
        <v>277</v>
      </c>
      <c r="C511" t="s">
        <v>921</v>
      </c>
      <c r="D511" s="10">
        <v>11256739.83</v>
      </c>
      <c r="E511"/>
      <c r="F511" s="10">
        <v>813247.72</v>
      </c>
      <c r="G511"/>
      <c r="H511" s="10">
        <v>3252336.95</v>
      </c>
      <c r="I511" t="s">
        <v>35</v>
      </c>
      <c r="J511" s="10">
        <v>8817650.5999999996</v>
      </c>
      <c r="K511"/>
      <c r="L511" s="1">
        <f t="shared" si="7"/>
        <v>8817650.5999999996</v>
      </c>
      <c r="N511" s="6" t="str">
        <f>IF(ISERROR(VLOOKUP($A511,'Plano de Contas'!#REF!,8,FALSE)),"",VLOOKUP($A511,'Plano de Contas'!#REF!,8,FALSE))</f>
        <v/>
      </c>
      <c r="P511" s="6" t="str">
        <f>IF(ISERROR(VLOOKUP($A511,'Plano de Contas'!#REF!,10,FALSE)),"",VLOOKUP($A511,'Plano de Contas'!#REF!,10,FALSE))</f>
        <v/>
      </c>
      <c r="R511" s="6" t="e">
        <f>VLOOKUP(A511,'Plano de Contas'!#REF!,12,FALSE)</f>
        <v>#REF!</v>
      </c>
      <c r="T511" s="6" t="e">
        <f>VLOOKUP(A511,'Plano de Contas'!#REF!,13,FALSE)</f>
        <v>#REF!</v>
      </c>
    </row>
    <row r="512" spans="1:20" s="5" customFormat="1" x14ac:dyDescent="0.25">
      <c r="A512" t="s">
        <v>1076</v>
      </c>
      <c r="B512">
        <v>278</v>
      </c>
      <c r="C512" t="s">
        <v>1077</v>
      </c>
      <c r="D512" s="10">
        <v>7920014.4500000002</v>
      </c>
      <c r="E512"/>
      <c r="F512" s="10">
        <v>569894.85</v>
      </c>
      <c r="G512"/>
      <c r="H512" s="10">
        <v>2391424.23</v>
      </c>
      <c r="I512" t="s">
        <v>35</v>
      </c>
      <c r="J512" s="10">
        <v>6098485.0700000003</v>
      </c>
      <c r="K512"/>
      <c r="L512" s="1">
        <f t="shared" si="7"/>
        <v>6098485.0700000003</v>
      </c>
      <c r="N512" s="6" t="str">
        <f>IF(ISERROR(VLOOKUP($A512,'Plano de Contas'!#REF!,8,FALSE)),"",VLOOKUP($A512,'Plano de Contas'!#REF!,8,FALSE))</f>
        <v/>
      </c>
      <c r="P512" s="6" t="str">
        <f>IF(ISERROR(VLOOKUP($A512,'Plano de Contas'!#REF!,10,FALSE)),"",VLOOKUP($A512,'Plano de Contas'!#REF!,10,FALSE))</f>
        <v/>
      </c>
      <c r="R512" s="6" t="e">
        <f>VLOOKUP(A512,'Plano de Contas'!#REF!,12,FALSE)</f>
        <v>#REF!</v>
      </c>
      <c r="T512" s="6" t="e">
        <f>VLOOKUP(A512,'Plano de Contas'!#REF!,13,FALSE)</f>
        <v>#REF!</v>
      </c>
    </row>
    <row r="513" spans="1:20" s="5" customFormat="1" x14ac:dyDescent="0.25">
      <c r="A513" t="s">
        <v>1078</v>
      </c>
      <c r="B513">
        <v>279</v>
      </c>
      <c r="C513" t="s">
        <v>1079</v>
      </c>
      <c r="D513" s="10">
        <v>2859125.2</v>
      </c>
      <c r="E513"/>
      <c r="F513" s="10">
        <v>205882.15</v>
      </c>
      <c r="G513"/>
      <c r="H513" s="10">
        <v>-860912.72</v>
      </c>
      <c r="I513"/>
      <c r="J513" s="10">
        <v>2204094.63</v>
      </c>
      <c r="K513"/>
      <c r="L513" s="1">
        <f t="shared" si="7"/>
        <v>2204094.63</v>
      </c>
      <c r="N513" s="6" t="str">
        <f>IF(ISERROR(VLOOKUP($A513,'Plano de Contas'!#REF!,8,FALSE)),"",VLOOKUP($A513,'Plano de Contas'!#REF!,8,FALSE))</f>
        <v/>
      </c>
      <c r="P513" s="6" t="str">
        <f>IF(ISERROR(VLOOKUP($A513,'Plano de Contas'!#REF!,10,FALSE)),"",VLOOKUP($A513,'Plano de Contas'!#REF!,10,FALSE))</f>
        <v/>
      </c>
      <c r="R513" s="6" t="e">
        <f>VLOOKUP(A513,'Plano de Contas'!#REF!,12,FALSE)</f>
        <v>#REF!</v>
      </c>
      <c r="T513" s="6" t="e">
        <f>VLOOKUP(A513,'Plano de Contas'!#REF!,13,FALSE)</f>
        <v>#REF!</v>
      </c>
    </row>
    <row r="514" spans="1:20" s="5" customFormat="1" x14ac:dyDescent="0.25">
      <c r="A514" t="s">
        <v>924</v>
      </c>
      <c r="B514">
        <v>282</v>
      </c>
      <c r="C514" t="s">
        <v>925</v>
      </c>
      <c r="D514" s="10">
        <v>1746.42</v>
      </c>
      <c r="E514"/>
      <c r="F514" s="10">
        <v>3997.13</v>
      </c>
      <c r="G514"/>
      <c r="H514">
        <v>0</v>
      </c>
      <c r="I514"/>
      <c r="J514" s="10">
        <v>5743.55</v>
      </c>
      <c r="K514"/>
      <c r="L514" s="1">
        <f t="shared" si="7"/>
        <v>5743.55</v>
      </c>
      <c r="N514" s="6" t="str">
        <f>IF(ISERROR(VLOOKUP($A514,'Plano de Contas'!#REF!,8,FALSE)),"",VLOOKUP($A514,'Plano de Contas'!#REF!,8,FALSE))</f>
        <v/>
      </c>
      <c r="P514" s="6" t="str">
        <f>IF(ISERROR(VLOOKUP($A514,'Plano de Contas'!#REF!,10,FALSE)),"",VLOOKUP($A514,'Plano de Contas'!#REF!,10,FALSE))</f>
        <v/>
      </c>
      <c r="R514" s="6" t="e">
        <f>VLOOKUP(A514,'Plano de Contas'!#REF!,12,FALSE)</f>
        <v>#REF!</v>
      </c>
      <c r="T514" s="6" t="e">
        <f>VLOOKUP(A514,'Plano de Contas'!#REF!,13,FALSE)</f>
        <v>#REF!</v>
      </c>
    </row>
    <row r="515" spans="1:20" s="5" customFormat="1" x14ac:dyDescent="0.25">
      <c r="A515" t="s">
        <v>926</v>
      </c>
      <c r="B515">
        <v>284</v>
      </c>
      <c r="C515" t="s">
        <v>927</v>
      </c>
      <c r="D515" s="10">
        <v>2656.79</v>
      </c>
      <c r="E515"/>
      <c r="F515" s="10">
        <v>0</v>
      </c>
      <c r="G515"/>
      <c r="H515" s="10">
        <v>0</v>
      </c>
      <c r="I515"/>
      <c r="J515" s="10">
        <v>2656.79</v>
      </c>
      <c r="K515"/>
      <c r="L515" s="1">
        <f t="shared" si="7"/>
        <v>2656.79</v>
      </c>
      <c r="N515" s="6" t="str">
        <f>IF(ISERROR(VLOOKUP($A515,'Plano de Contas'!#REF!,8,FALSE)),"",VLOOKUP($A515,'Plano de Contas'!#REF!,8,FALSE))</f>
        <v/>
      </c>
      <c r="P515" s="6" t="str">
        <f>IF(ISERROR(VLOOKUP($A515,'Plano de Contas'!#REF!,10,FALSE)),"",VLOOKUP($A515,'Plano de Contas'!#REF!,10,FALSE))</f>
        <v/>
      </c>
      <c r="R515" s="6" t="e">
        <f>VLOOKUP(A515,'Plano de Contas'!#REF!,12,FALSE)</f>
        <v>#REF!</v>
      </c>
      <c r="T515" s="6" t="e">
        <f>VLOOKUP(A515,'Plano de Contas'!#REF!,13,FALSE)</f>
        <v>#REF!</v>
      </c>
    </row>
    <row r="516" spans="1:20" s="5" customFormat="1" x14ac:dyDescent="0.25">
      <c r="A516" t="s">
        <v>928</v>
      </c>
      <c r="B516">
        <v>700</v>
      </c>
      <c r="C516" t="s">
        <v>929</v>
      </c>
      <c r="D516" s="10">
        <v>79331.5</v>
      </c>
      <c r="E516"/>
      <c r="F516" s="10">
        <v>4683.37</v>
      </c>
      <c r="G516"/>
      <c r="H516">
        <v>0</v>
      </c>
      <c r="I516"/>
      <c r="J516" s="10">
        <v>84014.87</v>
      </c>
      <c r="K516"/>
      <c r="L516" s="1">
        <f t="shared" si="7"/>
        <v>84014.87</v>
      </c>
      <c r="N516" s="6" t="str">
        <f>IF(ISERROR(VLOOKUP($A516,'Plano de Contas'!#REF!,8,FALSE)),"",VLOOKUP($A516,'Plano de Contas'!#REF!,8,FALSE))</f>
        <v/>
      </c>
      <c r="P516" s="6" t="str">
        <f>IF(ISERROR(VLOOKUP($A516,'Plano de Contas'!#REF!,10,FALSE)),"",VLOOKUP($A516,'Plano de Contas'!#REF!,10,FALSE))</f>
        <v/>
      </c>
      <c r="R516" s="6" t="e">
        <f>VLOOKUP(A516,'Plano de Contas'!#REF!,12,FALSE)</f>
        <v>#REF!</v>
      </c>
      <c r="T516" s="6" t="e">
        <f>VLOOKUP(A516,'Plano de Contas'!#REF!,13,FALSE)</f>
        <v>#REF!</v>
      </c>
    </row>
    <row r="517" spans="1:20" s="5" customFormat="1" x14ac:dyDescent="0.25">
      <c r="A517" t="s">
        <v>930</v>
      </c>
      <c r="B517">
        <v>701</v>
      </c>
      <c r="C517" t="s">
        <v>554</v>
      </c>
      <c r="D517" s="10">
        <v>393865.47</v>
      </c>
      <c r="E517"/>
      <c r="F517" s="10">
        <v>28790.22</v>
      </c>
      <c r="G517"/>
      <c r="H517" s="10">
        <v>0</v>
      </c>
      <c r="I517"/>
      <c r="J517" s="10">
        <v>422655.69</v>
      </c>
      <c r="K517"/>
      <c r="L517" s="1">
        <f t="shared" si="7"/>
        <v>422655.69</v>
      </c>
      <c r="N517" s="6" t="str">
        <f>IF(ISERROR(VLOOKUP($A517,'Plano de Contas'!#REF!,8,FALSE)),"",VLOOKUP($A517,'Plano de Contas'!#REF!,8,FALSE))</f>
        <v/>
      </c>
      <c r="P517" s="6" t="str">
        <f>IF(ISERROR(VLOOKUP($A517,'Plano de Contas'!#REF!,10,FALSE)),"",VLOOKUP($A517,'Plano de Contas'!#REF!,10,FALSE))</f>
        <v/>
      </c>
      <c r="R517" s="6" t="e">
        <f>VLOOKUP(A517,'Plano de Contas'!#REF!,12,FALSE)</f>
        <v>#REF!</v>
      </c>
      <c r="T517" s="6" t="e">
        <f>VLOOKUP(A517,'Plano de Contas'!#REF!,13,FALSE)</f>
        <v>#REF!</v>
      </c>
    </row>
    <row r="518" spans="1:20" s="5" customFormat="1" x14ac:dyDescent="0.25">
      <c r="A518"/>
      <c r="B518"/>
      <c r="C518"/>
      <c r="D518" s="10"/>
      <c r="E518"/>
      <c r="F518" s="10"/>
      <c r="G518"/>
      <c r="H518" s="10"/>
      <c r="I518"/>
      <c r="J518" s="10"/>
      <c r="K518"/>
      <c r="L518" s="1">
        <f t="shared" si="7"/>
        <v>0</v>
      </c>
      <c r="N518" s="6" t="str">
        <f>IF(ISERROR(VLOOKUP($A518,'Plano de Contas'!#REF!,8,FALSE)),"",VLOOKUP($A518,'Plano de Contas'!#REF!,8,FALSE))</f>
        <v/>
      </c>
      <c r="P518" s="6" t="str">
        <f>IF(ISERROR(VLOOKUP($A518,'Plano de Contas'!#REF!,10,FALSE)),"",VLOOKUP($A518,'Plano de Contas'!#REF!,10,FALSE))</f>
        <v/>
      </c>
      <c r="R518" s="6" t="e">
        <f>VLOOKUP(A518,'Plano de Contas'!#REF!,12,FALSE)</f>
        <v>#REF!</v>
      </c>
      <c r="T518" s="6" t="e">
        <f>VLOOKUP(A518,'Plano de Contas'!#REF!,13,FALSE)</f>
        <v>#REF!</v>
      </c>
    </row>
    <row r="519" spans="1:20" s="5" customFormat="1" x14ac:dyDescent="0.25">
      <c r="A519" t="s">
        <v>1231</v>
      </c>
      <c r="B519">
        <v>448</v>
      </c>
      <c r="C519" t="s">
        <v>1232</v>
      </c>
      <c r="D519" s="10">
        <v>-8526298.6999999993</v>
      </c>
      <c r="E519"/>
      <c r="F519" s="10">
        <v>0</v>
      </c>
      <c r="G519"/>
      <c r="H519" s="10">
        <v>-21761.7</v>
      </c>
      <c r="I519"/>
      <c r="J519" s="10">
        <v>-8548060.4000000004</v>
      </c>
      <c r="K519"/>
      <c r="L519" s="1">
        <f t="shared" si="7"/>
        <v>-8548060.4000000004</v>
      </c>
      <c r="N519" s="6" t="str">
        <f>IF(ISERROR(VLOOKUP($A519,'Plano de Contas'!#REF!,8,FALSE)),"",VLOOKUP($A519,'Plano de Contas'!#REF!,8,FALSE))</f>
        <v/>
      </c>
      <c r="P519" s="6" t="str">
        <f>IF(ISERROR(VLOOKUP($A519,'Plano de Contas'!#REF!,10,FALSE)),"",VLOOKUP($A519,'Plano de Contas'!#REF!,10,FALSE))</f>
        <v/>
      </c>
      <c r="R519" s="6" t="e">
        <f>VLOOKUP(A519,'Plano de Contas'!#REF!,12,FALSE)</f>
        <v>#REF!</v>
      </c>
      <c r="T519" s="6" t="e">
        <f>VLOOKUP(A519,'Plano de Contas'!#REF!,13,FALSE)</f>
        <v>#REF!</v>
      </c>
    </row>
    <row r="520" spans="1:20" s="5" customFormat="1" x14ac:dyDescent="0.25">
      <c r="A520" t="s">
        <v>1233</v>
      </c>
      <c r="B520">
        <v>449</v>
      </c>
      <c r="C520" t="s">
        <v>1234</v>
      </c>
      <c r="D520" s="10">
        <v>8526298.6999999993</v>
      </c>
      <c r="E520" t="s">
        <v>35</v>
      </c>
      <c r="F520" s="10">
        <v>0</v>
      </c>
      <c r="G520"/>
      <c r="H520" s="10">
        <v>0</v>
      </c>
      <c r="I520"/>
      <c r="J520" s="10">
        <v>8526298.6999999993</v>
      </c>
      <c r="K520" t="s">
        <v>35</v>
      </c>
      <c r="L520" s="1">
        <f t="shared" ref="L520:L583" si="8">IF(K520="-",-J520,J520)</f>
        <v>-8526298.6999999993</v>
      </c>
      <c r="N520" s="6" t="str">
        <f>IF(ISERROR(VLOOKUP($A520,'Plano de Contas'!#REF!,8,FALSE)),"",VLOOKUP($A520,'Plano de Contas'!#REF!,8,FALSE))</f>
        <v/>
      </c>
      <c r="P520" s="6" t="str">
        <f>IF(ISERROR(VLOOKUP($A520,'Plano de Contas'!#REF!,10,FALSE)),"",VLOOKUP($A520,'Plano de Contas'!#REF!,10,FALSE))</f>
        <v/>
      </c>
      <c r="R520" s="6" t="e">
        <f>VLOOKUP(A520,'Plano de Contas'!#REF!,12,FALSE)</f>
        <v>#REF!</v>
      </c>
      <c r="T520" s="6" t="e">
        <f>VLOOKUP(A520,'Plano de Contas'!#REF!,13,FALSE)</f>
        <v>#REF!</v>
      </c>
    </row>
    <row r="521" spans="1:20" s="5" customFormat="1" x14ac:dyDescent="0.25">
      <c r="A521" t="s">
        <v>1235</v>
      </c>
      <c r="B521">
        <v>1086</v>
      </c>
      <c r="C521" t="s">
        <v>1236</v>
      </c>
      <c r="D521" s="10">
        <v>0</v>
      </c>
      <c r="E521"/>
      <c r="F521" s="10">
        <v>0</v>
      </c>
      <c r="G521"/>
      <c r="H521" s="10">
        <v>-21761.7</v>
      </c>
      <c r="I521"/>
      <c r="J521" s="10">
        <v>-21761.7</v>
      </c>
      <c r="K521"/>
      <c r="L521" s="1">
        <f t="shared" si="8"/>
        <v>-21761.7</v>
      </c>
      <c r="N521" s="6" t="str">
        <f>IF(ISERROR(VLOOKUP($A521,'Plano de Contas'!#REF!,8,FALSE)),"",VLOOKUP($A521,'Plano de Contas'!#REF!,8,FALSE))</f>
        <v/>
      </c>
      <c r="P521" s="6" t="str">
        <f>IF(ISERROR(VLOOKUP($A521,'Plano de Contas'!#REF!,10,FALSE)),"",VLOOKUP($A521,'Plano de Contas'!#REF!,10,FALSE))</f>
        <v/>
      </c>
      <c r="R521" s="6" t="e">
        <f>VLOOKUP(A521,'Plano de Contas'!#REF!,12,FALSE)</f>
        <v>#REF!</v>
      </c>
      <c r="T521" s="6" t="e">
        <f>VLOOKUP(A521,'Plano de Contas'!#REF!,13,FALSE)</f>
        <v>#REF!</v>
      </c>
    </row>
    <row r="522" spans="1:20" s="5" customFormat="1" x14ac:dyDescent="0.25">
      <c r="A522"/>
      <c r="B522"/>
      <c r="C522"/>
      <c r="D522" s="10"/>
      <c r="E522"/>
      <c r="F522" s="10"/>
      <c r="G522"/>
      <c r="H522" s="10"/>
      <c r="I522"/>
      <c r="J522" s="10"/>
      <c r="K522"/>
      <c r="L522" s="1">
        <f t="shared" si="8"/>
        <v>0</v>
      </c>
      <c r="N522" s="6" t="str">
        <f>IF(ISERROR(VLOOKUP($A522,'Plano de Contas'!#REF!,8,FALSE)),"",VLOOKUP($A522,'Plano de Contas'!#REF!,8,FALSE))</f>
        <v/>
      </c>
      <c r="P522" s="6" t="str">
        <f>IF(ISERROR(VLOOKUP($A522,'Plano de Contas'!#REF!,10,FALSE)),"",VLOOKUP($A522,'Plano de Contas'!#REF!,10,FALSE))</f>
        <v/>
      </c>
      <c r="R522" s="6" t="e">
        <f>VLOOKUP(A522,'Plano de Contas'!#REF!,12,FALSE)</f>
        <v>#REF!</v>
      </c>
      <c r="T522" s="6" t="e">
        <f>VLOOKUP(A522,'Plano de Contas'!#REF!,13,FALSE)</f>
        <v>#REF!</v>
      </c>
    </row>
    <row r="523" spans="1:20" s="5" customFormat="1" x14ac:dyDescent="0.25">
      <c r="A523" t="s">
        <v>1081</v>
      </c>
      <c r="B523">
        <v>723</v>
      </c>
      <c r="C523" t="s">
        <v>1082</v>
      </c>
      <c r="D523" s="10">
        <v>74373.19</v>
      </c>
      <c r="E523" t="s">
        <v>35</v>
      </c>
      <c r="F523" s="10">
        <v>0</v>
      </c>
      <c r="G523"/>
      <c r="H523" s="10">
        <v>0</v>
      </c>
      <c r="I523"/>
      <c r="J523" s="10">
        <v>74373.19</v>
      </c>
      <c r="K523" t="s">
        <v>35</v>
      </c>
      <c r="L523" s="1">
        <f t="shared" si="8"/>
        <v>-74373.19</v>
      </c>
      <c r="N523" s="6" t="str">
        <f>IF(ISERROR(VLOOKUP($A523,'Plano de Contas'!#REF!,8,FALSE)),"",VLOOKUP($A523,'Plano de Contas'!#REF!,8,FALSE))</f>
        <v/>
      </c>
      <c r="P523" s="6" t="str">
        <f>IF(ISERROR(VLOOKUP($A523,'Plano de Contas'!#REF!,10,FALSE)),"",VLOOKUP($A523,'Plano de Contas'!#REF!,10,FALSE))</f>
        <v/>
      </c>
      <c r="R523" s="6" t="e">
        <f>VLOOKUP(A523,'Plano de Contas'!#REF!,12,FALSE)</f>
        <v>#REF!</v>
      </c>
      <c r="T523" s="6" t="e">
        <f>VLOOKUP(A523,'Plano de Contas'!#REF!,13,FALSE)</f>
        <v>#REF!</v>
      </c>
    </row>
    <row r="524" spans="1:20" s="5" customFormat="1" x14ac:dyDescent="0.25">
      <c r="A524" t="s">
        <v>1083</v>
      </c>
      <c r="B524">
        <v>879</v>
      </c>
      <c r="C524" t="s">
        <v>1084</v>
      </c>
      <c r="D524" s="10">
        <v>74373.19</v>
      </c>
      <c r="E524" t="s">
        <v>35</v>
      </c>
      <c r="F524" s="10">
        <v>0</v>
      </c>
      <c r="G524"/>
      <c r="H524" s="10">
        <v>0</v>
      </c>
      <c r="I524"/>
      <c r="J524" s="10">
        <v>74373.19</v>
      </c>
      <c r="K524" t="s">
        <v>35</v>
      </c>
      <c r="L524" s="1">
        <f t="shared" si="8"/>
        <v>-74373.19</v>
      </c>
      <c r="N524" s="6" t="str">
        <f>IF(ISERROR(VLOOKUP($A524,'Plano de Contas'!#REF!,8,FALSE)),"",VLOOKUP($A524,'Plano de Contas'!#REF!,8,FALSE))</f>
        <v/>
      </c>
      <c r="P524" s="6" t="str">
        <f>IF(ISERROR(VLOOKUP($A524,'Plano de Contas'!#REF!,10,FALSE)),"",VLOOKUP($A524,'Plano de Contas'!#REF!,10,FALSE))</f>
        <v/>
      </c>
      <c r="R524" s="6" t="e">
        <f>VLOOKUP(A524,'Plano de Contas'!#REF!,12,FALSE)</f>
        <v>#REF!</v>
      </c>
      <c r="T524" s="6" t="e">
        <f>VLOOKUP(A524,'Plano de Contas'!#REF!,13,FALSE)</f>
        <v>#REF!</v>
      </c>
    </row>
    <row r="525" spans="1:20" s="5" customFormat="1" x14ac:dyDescent="0.25">
      <c r="A525"/>
      <c r="B525"/>
      <c r="C525"/>
      <c r="D525" s="10"/>
      <c r="E525"/>
      <c r="F525" s="10"/>
      <c r="G525"/>
      <c r="H525" s="10"/>
      <c r="I525"/>
      <c r="J525" s="10"/>
      <c r="K525"/>
      <c r="L525" s="1">
        <f t="shared" si="8"/>
        <v>0</v>
      </c>
      <c r="N525" s="6" t="str">
        <f>IF(ISERROR(VLOOKUP($A525,'Plano de Contas'!#REF!,8,FALSE)),"",VLOOKUP($A525,'Plano de Contas'!#REF!,8,FALSE))</f>
        <v/>
      </c>
      <c r="P525" s="6" t="str">
        <f>IF(ISERROR(VLOOKUP($A525,'Plano de Contas'!#REF!,10,FALSE)),"",VLOOKUP($A525,'Plano de Contas'!#REF!,10,FALSE))</f>
        <v/>
      </c>
      <c r="R525" s="6" t="e">
        <f>VLOOKUP(A525,'Plano de Contas'!#REF!,12,FALSE)</f>
        <v>#REF!</v>
      </c>
      <c r="T525" s="6" t="e">
        <f>VLOOKUP(A525,'Plano de Contas'!#REF!,13,FALSE)</f>
        <v>#REF!</v>
      </c>
    </row>
    <row r="526" spans="1:20" s="5" customFormat="1" x14ac:dyDescent="0.25">
      <c r="A526" t="s">
        <v>931</v>
      </c>
      <c r="B526">
        <v>733</v>
      </c>
      <c r="C526" t="s">
        <v>932</v>
      </c>
      <c r="D526" s="10">
        <v>154365.99</v>
      </c>
      <c r="E526" t="s">
        <v>35</v>
      </c>
      <c r="F526" s="10">
        <v>0</v>
      </c>
      <c r="G526"/>
      <c r="H526" s="10">
        <v>1694.28</v>
      </c>
      <c r="I526" t="s">
        <v>35</v>
      </c>
      <c r="J526" s="10">
        <v>156060.26999999999</v>
      </c>
      <c r="K526" t="s">
        <v>35</v>
      </c>
      <c r="L526" s="1">
        <f t="shared" si="8"/>
        <v>-156060.26999999999</v>
      </c>
      <c r="N526" s="6" t="str">
        <f>IF(ISERROR(VLOOKUP($A526,'Plano de Contas'!#REF!,8,FALSE)),"",VLOOKUP($A526,'Plano de Contas'!#REF!,8,FALSE))</f>
        <v/>
      </c>
      <c r="P526" s="6" t="str">
        <f>IF(ISERROR(VLOOKUP($A526,'Plano de Contas'!#REF!,10,FALSE)),"",VLOOKUP($A526,'Plano de Contas'!#REF!,10,FALSE))</f>
        <v/>
      </c>
      <c r="R526" s="6" t="e">
        <f>VLOOKUP(A526,'Plano de Contas'!#REF!,12,FALSE)</f>
        <v>#REF!</v>
      </c>
      <c r="T526" s="6" t="e">
        <f>VLOOKUP(A526,'Plano de Contas'!#REF!,13,FALSE)</f>
        <v>#REF!</v>
      </c>
    </row>
    <row r="527" spans="1:20" s="5" customFormat="1" x14ac:dyDescent="0.25">
      <c r="A527" t="s">
        <v>935</v>
      </c>
      <c r="B527">
        <v>881</v>
      </c>
      <c r="C527" t="s">
        <v>936</v>
      </c>
      <c r="D527" s="10">
        <v>154365.99</v>
      </c>
      <c r="E527" t="s">
        <v>35</v>
      </c>
      <c r="F527" s="10">
        <v>0</v>
      </c>
      <c r="G527"/>
      <c r="H527" s="10">
        <v>1694.28</v>
      </c>
      <c r="I527" t="s">
        <v>35</v>
      </c>
      <c r="J527" s="10">
        <v>156060.26999999999</v>
      </c>
      <c r="K527" t="s">
        <v>35</v>
      </c>
      <c r="L527" s="1">
        <f t="shared" si="8"/>
        <v>-156060.26999999999</v>
      </c>
      <c r="N527" s="6" t="str">
        <f>IF(ISERROR(VLOOKUP($A527,'Plano de Contas'!#REF!,8,FALSE)),"",VLOOKUP($A527,'Plano de Contas'!#REF!,8,FALSE))</f>
        <v/>
      </c>
      <c r="P527" s="6" t="str">
        <f>IF(ISERROR(VLOOKUP($A527,'Plano de Contas'!#REF!,10,FALSE)),"",VLOOKUP($A527,'Plano de Contas'!#REF!,10,FALSE))</f>
        <v/>
      </c>
      <c r="R527" s="6" t="e">
        <f>VLOOKUP(A527,'Plano de Contas'!#REF!,12,FALSE)</f>
        <v>#REF!</v>
      </c>
      <c r="T527" s="6" t="e">
        <f>VLOOKUP(A527,'Plano de Contas'!#REF!,13,FALSE)</f>
        <v>#REF!</v>
      </c>
    </row>
    <row r="528" spans="1:20" s="5" customFormat="1" x14ac:dyDescent="0.25">
      <c r="A528"/>
      <c r="B528"/>
      <c r="C528"/>
      <c r="D528" s="10"/>
      <c r="E528"/>
      <c r="F528" s="10"/>
      <c r="G528"/>
      <c r="H528" s="10"/>
      <c r="I528"/>
      <c r="J528" s="10"/>
      <c r="K528"/>
      <c r="L528" s="1">
        <f t="shared" si="8"/>
        <v>0</v>
      </c>
      <c r="N528" s="6" t="str">
        <f>IF(ISERROR(VLOOKUP($A528,'Plano de Contas'!#REF!,8,FALSE)),"",VLOOKUP($A528,'Plano de Contas'!#REF!,8,FALSE))</f>
        <v/>
      </c>
      <c r="P528" s="6" t="str">
        <f>IF(ISERROR(VLOOKUP($A528,'Plano de Contas'!#REF!,10,FALSE)),"",VLOOKUP($A528,'Plano de Contas'!#REF!,10,FALSE))</f>
        <v/>
      </c>
      <c r="R528" s="6" t="e">
        <f>VLOOKUP(A528,'Plano de Contas'!#REF!,12,FALSE)</f>
        <v>#REF!</v>
      </c>
      <c r="T528" s="6" t="e">
        <f>VLOOKUP(A528,'Plano de Contas'!#REF!,13,FALSE)</f>
        <v>#REF!</v>
      </c>
    </row>
    <row r="529" spans="1:20" s="5" customFormat="1" x14ac:dyDescent="0.25">
      <c r="A529" t="s">
        <v>1237</v>
      </c>
      <c r="B529">
        <v>1099</v>
      </c>
      <c r="C529" t="s">
        <v>1238</v>
      </c>
      <c r="D529" s="10">
        <v>0</v>
      </c>
      <c r="E529"/>
      <c r="F529" s="10">
        <v>21500</v>
      </c>
      <c r="G529"/>
      <c r="H529" s="10">
        <v>21500</v>
      </c>
      <c r="I529" t="s">
        <v>35</v>
      </c>
      <c r="J529" s="10">
        <v>0</v>
      </c>
      <c r="K529"/>
      <c r="L529" s="1">
        <f t="shared" si="8"/>
        <v>0</v>
      </c>
      <c r="N529" s="6" t="str">
        <f>IF(ISERROR(VLOOKUP($A529,'Plano de Contas'!#REF!,8,FALSE)),"",VLOOKUP($A529,'Plano de Contas'!#REF!,8,FALSE))</f>
        <v/>
      </c>
      <c r="P529" s="6" t="str">
        <f>IF(ISERROR(VLOOKUP($A529,'Plano de Contas'!#REF!,10,FALSE)),"",VLOOKUP($A529,'Plano de Contas'!#REF!,10,FALSE))</f>
        <v/>
      </c>
      <c r="R529" s="6" t="e">
        <f>VLOOKUP(A529,'Plano de Contas'!#REF!,12,FALSE)</f>
        <v>#REF!</v>
      </c>
      <c r="T529" s="6" t="e">
        <f>VLOOKUP(A529,'Plano de Contas'!#REF!,13,FALSE)</f>
        <v>#REF!</v>
      </c>
    </row>
    <row r="530" spans="1:20" s="5" customFormat="1" x14ac:dyDescent="0.25">
      <c r="A530" t="s">
        <v>1239</v>
      </c>
      <c r="B530">
        <v>1100</v>
      </c>
      <c r="C530" t="s">
        <v>1240</v>
      </c>
      <c r="D530" s="10">
        <v>-436000</v>
      </c>
      <c r="E530"/>
      <c r="F530">
        <v>0</v>
      </c>
      <c r="G530"/>
      <c r="H530" s="10">
        <v>-21500</v>
      </c>
      <c r="I530"/>
      <c r="J530" s="10">
        <v>-457500</v>
      </c>
      <c r="K530"/>
      <c r="L530" s="1">
        <f t="shared" si="8"/>
        <v>-457500</v>
      </c>
      <c r="N530" s="6" t="str">
        <f>IF(ISERROR(VLOOKUP($A530,'Plano de Contas'!#REF!,8,FALSE)),"",VLOOKUP($A530,'Plano de Contas'!#REF!,8,FALSE))</f>
        <v/>
      </c>
      <c r="P530" s="6" t="str">
        <f>IF(ISERROR(VLOOKUP($A530,'Plano de Contas'!#REF!,10,FALSE)),"",VLOOKUP($A530,'Plano de Contas'!#REF!,10,FALSE))</f>
        <v/>
      </c>
      <c r="R530" s="6" t="e">
        <f>VLOOKUP(A530,'Plano de Contas'!#REF!,12,FALSE)</f>
        <v>#REF!</v>
      </c>
      <c r="T530" s="6" t="e">
        <f>VLOOKUP(A530,'Plano de Contas'!#REF!,13,FALSE)</f>
        <v>#REF!</v>
      </c>
    </row>
    <row r="531" spans="1:20" s="5" customFormat="1" x14ac:dyDescent="0.25">
      <c r="A531" t="s">
        <v>1241</v>
      </c>
      <c r="B531">
        <v>1101</v>
      </c>
      <c r="C531" t="s">
        <v>1242</v>
      </c>
      <c r="D531" s="10">
        <v>436000</v>
      </c>
      <c r="E531"/>
      <c r="F531" s="10">
        <v>21500</v>
      </c>
      <c r="G531"/>
      <c r="H531" s="10">
        <v>0</v>
      </c>
      <c r="I531"/>
      <c r="J531" s="10">
        <v>457500</v>
      </c>
      <c r="K531"/>
      <c r="L531" s="1">
        <f t="shared" si="8"/>
        <v>457500</v>
      </c>
      <c r="N531" s="6" t="str">
        <f>IF(ISERROR(VLOOKUP($A531,'Plano de Contas'!#REF!,8,FALSE)),"",VLOOKUP($A531,'Plano de Contas'!#REF!,8,FALSE))</f>
        <v/>
      </c>
      <c r="P531" s="6" t="str">
        <f>IF(ISERROR(VLOOKUP($A531,'Plano de Contas'!#REF!,10,FALSE)),"",VLOOKUP($A531,'Plano de Contas'!#REF!,10,FALSE))</f>
        <v/>
      </c>
      <c r="R531" s="6" t="e">
        <f>VLOOKUP(A531,'Plano de Contas'!#REF!,12,FALSE)</f>
        <v>#REF!</v>
      </c>
      <c r="T531" s="6" t="e">
        <f>VLOOKUP(A531,'Plano de Contas'!#REF!,13,FALSE)</f>
        <v>#REF!</v>
      </c>
    </row>
    <row r="532" spans="1:20" s="5" customFormat="1" x14ac:dyDescent="0.25">
      <c r="A532"/>
      <c r="B532"/>
      <c r="C532"/>
      <c r="D532" s="10"/>
      <c r="E532"/>
      <c r="F532"/>
      <c r="G532"/>
      <c r="H532"/>
      <c r="I532"/>
      <c r="J532" s="10"/>
      <c r="K532"/>
      <c r="L532" s="1">
        <f t="shared" si="8"/>
        <v>0</v>
      </c>
      <c r="N532" s="6" t="str">
        <f>IF(ISERROR(VLOOKUP($A532,'Plano de Contas'!#REF!,8,FALSE)),"",VLOOKUP($A532,'Plano de Contas'!#REF!,8,FALSE))</f>
        <v/>
      </c>
      <c r="P532" s="6" t="str">
        <f>IF(ISERROR(VLOOKUP($A532,'Plano de Contas'!#REF!,10,FALSE)),"",VLOOKUP($A532,'Plano de Contas'!#REF!,10,FALSE))</f>
        <v/>
      </c>
      <c r="R532" s="6" t="e">
        <f>VLOOKUP(A532,'Plano de Contas'!#REF!,12,FALSE)</f>
        <v>#REF!</v>
      </c>
      <c r="T532" s="6" t="e">
        <f>VLOOKUP(A532,'Plano de Contas'!#REF!,13,FALSE)</f>
        <v>#REF!</v>
      </c>
    </row>
    <row r="533" spans="1:20" s="5" customFormat="1" x14ac:dyDescent="0.25">
      <c r="A533" t="s">
        <v>937</v>
      </c>
      <c r="B533">
        <v>285</v>
      </c>
      <c r="C533" t="s">
        <v>938</v>
      </c>
      <c r="D533" s="10">
        <v>4120845.85</v>
      </c>
      <c r="E533"/>
      <c r="F533" s="10">
        <v>95769.16</v>
      </c>
      <c r="G533"/>
      <c r="H533" s="10">
        <v>722556.88</v>
      </c>
      <c r="I533" t="s">
        <v>35</v>
      </c>
      <c r="J533" s="10">
        <v>3494058.13</v>
      </c>
      <c r="K533"/>
      <c r="L533" s="1">
        <f t="shared" si="8"/>
        <v>3494058.13</v>
      </c>
      <c r="N533" s="6" t="str">
        <f>IF(ISERROR(VLOOKUP($A533,'Plano de Contas'!#REF!,8,FALSE)),"",VLOOKUP($A533,'Plano de Contas'!#REF!,8,FALSE))</f>
        <v/>
      </c>
      <c r="P533" s="6" t="str">
        <f>IF(ISERROR(VLOOKUP($A533,'Plano de Contas'!#REF!,10,FALSE)),"",VLOOKUP($A533,'Plano de Contas'!#REF!,10,FALSE))</f>
        <v/>
      </c>
      <c r="R533" s="6" t="e">
        <f>VLOOKUP(A533,'Plano de Contas'!#REF!,12,FALSE)</f>
        <v>#REF!</v>
      </c>
      <c r="T533" s="6" t="e">
        <f>VLOOKUP(A533,'Plano de Contas'!#REF!,13,FALSE)</f>
        <v>#REF!</v>
      </c>
    </row>
    <row r="534" spans="1:20" s="5" customFormat="1" x14ac:dyDescent="0.25">
      <c r="A534"/>
      <c r="B534"/>
      <c r="C534"/>
      <c r="D534" s="10"/>
      <c r="E534"/>
      <c r="F534" s="10"/>
      <c r="G534"/>
      <c r="H534" s="10"/>
      <c r="I534"/>
      <c r="J534" s="10"/>
      <c r="K534"/>
      <c r="L534" s="1">
        <f t="shared" si="8"/>
        <v>0</v>
      </c>
      <c r="N534" s="6" t="str">
        <f>IF(ISERROR(VLOOKUP($A534,'Plano de Contas'!#REF!,8,FALSE)),"",VLOOKUP($A534,'Plano de Contas'!#REF!,8,FALSE))</f>
        <v/>
      </c>
      <c r="P534" s="6" t="str">
        <f>IF(ISERROR(VLOOKUP($A534,'Plano de Contas'!#REF!,10,FALSE)),"",VLOOKUP($A534,'Plano de Contas'!#REF!,10,FALSE))</f>
        <v/>
      </c>
      <c r="R534" s="6" t="e">
        <f>VLOOKUP(A534,'Plano de Contas'!#REF!,12,FALSE)</f>
        <v>#REF!</v>
      </c>
      <c r="T534" s="6" t="e">
        <f>VLOOKUP(A534,'Plano de Contas'!#REF!,13,FALSE)</f>
        <v>#REF!</v>
      </c>
    </row>
    <row r="535" spans="1:20" s="5" customFormat="1" x14ac:dyDescent="0.25">
      <c r="A535" t="s">
        <v>939</v>
      </c>
      <c r="B535">
        <v>286</v>
      </c>
      <c r="C535" t="s">
        <v>940</v>
      </c>
      <c r="D535" s="10">
        <v>5206670.67</v>
      </c>
      <c r="E535" t="s">
        <v>35</v>
      </c>
      <c r="F535" s="10">
        <v>7399.31</v>
      </c>
      <c r="G535"/>
      <c r="H535" s="10">
        <v>720936.1</v>
      </c>
      <c r="I535" t="s">
        <v>35</v>
      </c>
      <c r="J535" s="10">
        <v>5920207.46</v>
      </c>
      <c r="K535" t="s">
        <v>35</v>
      </c>
      <c r="L535" s="1">
        <f t="shared" si="8"/>
        <v>-5920207.46</v>
      </c>
      <c r="N535" s="6" t="str">
        <f>IF(ISERROR(VLOOKUP($A535,'Plano de Contas'!#REF!,8,FALSE)),"",VLOOKUP($A535,'Plano de Contas'!#REF!,8,FALSE))</f>
        <v/>
      </c>
      <c r="P535" s="6" t="str">
        <f>IF(ISERROR(VLOOKUP($A535,'Plano de Contas'!#REF!,10,FALSE)),"",VLOOKUP($A535,'Plano de Contas'!#REF!,10,FALSE))</f>
        <v/>
      </c>
      <c r="R535" s="6" t="e">
        <f>VLOOKUP(A535,'Plano de Contas'!#REF!,12,FALSE)</f>
        <v>#REF!</v>
      </c>
      <c r="T535" s="6" t="e">
        <f>VLOOKUP(A535,'Plano de Contas'!#REF!,13,FALSE)</f>
        <v>#REF!</v>
      </c>
    </row>
    <row r="536" spans="1:20" s="5" customFormat="1" x14ac:dyDescent="0.25">
      <c r="A536"/>
      <c r="B536"/>
      <c r="C536"/>
      <c r="D536" s="10"/>
      <c r="E536"/>
      <c r="F536" s="10"/>
      <c r="G536"/>
      <c r="H536" s="10"/>
      <c r="I536"/>
      <c r="J536" s="10"/>
      <c r="K536"/>
      <c r="L536" s="1">
        <f t="shared" si="8"/>
        <v>0</v>
      </c>
      <c r="N536" s="6" t="str">
        <f>IF(ISERROR(VLOOKUP($A536,'Plano de Contas'!#REF!,8,FALSE)),"",VLOOKUP($A536,'Plano de Contas'!#REF!,8,FALSE))</f>
        <v/>
      </c>
      <c r="P536" s="6" t="str">
        <f>IF(ISERROR(VLOOKUP($A536,'Plano de Contas'!#REF!,10,FALSE)),"",VLOOKUP($A536,'Plano de Contas'!#REF!,10,FALSE))</f>
        <v/>
      </c>
      <c r="R536" s="6" t="e">
        <f>VLOOKUP(A536,'Plano de Contas'!#REF!,12,FALSE)</f>
        <v>#REF!</v>
      </c>
      <c r="T536" s="6" t="e">
        <f>VLOOKUP(A536,'Plano de Contas'!#REF!,13,FALSE)</f>
        <v>#REF!</v>
      </c>
    </row>
    <row r="537" spans="1:20" s="5" customFormat="1" x14ac:dyDescent="0.25">
      <c r="A537" t="s">
        <v>941</v>
      </c>
      <c r="B537">
        <v>287</v>
      </c>
      <c r="C537" t="s">
        <v>942</v>
      </c>
      <c r="D537" s="10">
        <v>5206670.67</v>
      </c>
      <c r="E537" t="s">
        <v>35</v>
      </c>
      <c r="F537" s="10">
        <v>7399.31</v>
      </c>
      <c r="G537"/>
      <c r="H537" s="10">
        <v>720936.1</v>
      </c>
      <c r="I537" t="s">
        <v>35</v>
      </c>
      <c r="J537" s="10">
        <v>5920207.46</v>
      </c>
      <c r="K537" t="s">
        <v>35</v>
      </c>
      <c r="L537" s="1">
        <f t="shared" si="8"/>
        <v>-5920207.46</v>
      </c>
      <c r="N537" s="6" t="str">
        <f>IF(ISERROR(VLOOKUP($A537,'Plano de Contas'!#REF!,8,FALSE)),"",VLOOKUP($A537,'Plano de Contas'!#REF!,8,FALSE))</f>
        <v/>
      </c>
      <c r="P537" s="6" t="str">
        <f>IF(ISERROR(VLOOKUP($A537,'Plano de Contas'!#REF!,10,FALSE)),"",VLOOKUP($A537,'Plano de Contas'!#REF!,10,FALSE))</f>
        <v/>
      </c>
      <c r="R537" s="6" t="e">
        <f>VLOOKUP(A537,'Plano de Contas'!#REF!,12,FALSE)</f>
        <v>#REF!</v>
      </c>
      <c r="T537" s="6" t="e">
        <f>VLOOKUP(A537,'Plano de Contas'!#REF!,13,FALSE)</f>
        <v>#REF!</v>
      </c>
    </row>
    <row r="538" spans="1:20" s="5" customFormat="1" x14ac:dyDescent="0.25">
      <c r="A538" t="s">
        <v>943</v>
      </c>
      <c r="B538">
        <v>288</v>
      </c>
      <c r="C538" t="s">
        <v>944</v>
      </c>
      <c r="D538" s="10">
        <v>-4756003.8</v>
      </c>
      <c r="E538"/>
      <c r="F538" s="10">
        <v>3564.05</v>
      </c>
      <c r="G538"/>
      <c r="H538" s="10">
        <v>-712649.96</v>
      </c>
      <c r="I538"/>
      <c r="J538" s="10">
        <v>-5465089.71</v>
      </c>
      <c r="K538"/>
      <c r="L538" s="1">
        <f t="shared" si="8"/>
        <v>-5465089.71</v>
      </c>
      <c r="N538" s="6" t="str">
        <f>IF(ISERROR(VLOOKUP($A538,'Plano de Contas'!#REF!,8,FALSE)),"",VLOOKUP($A538,'Plano de Contas'!#REF!,8,FALSE))</f>
        <v/>
      </c>
      <c r="P538" s="6" t="str">
        <f>IF(ISERROR(VLOOKUP($A538,'Plano de Contas'!#REF!,10,FALSE)),"",VLOOKUP($A538,'Plano de Contas'!#REF!,10,FALSE))</f>
        <v/>
      </c>
      <c r="R538" s="6" t="e">
        <f>VLOOKUP(A538,'Plano de Contas'!#REF!,12,FALSE)</f>
        <v>#REF!</v>
      </c>
      <c r="T538" s="6" t="e">
        <f>VLOOKUP(A538,'Plano de Contas'!#REF!,13,FALSE)</f>
        <v>#REF!</v>
      </c>
    </row>
    <row r="539" spans="1:20" s="5" customFormat="1" x14ac:dyDescent="0.25">
      <c r="A539" t="s">
        <v>945</v>
      </c>
      <c r="B539">
        <v>289</v>
      </c>
      <c r="C539" t="s">
        <v>946</v>
      </c>
      <c r="D539" s="10">
        <v>10458.25</v>
      </c>
      <c r="E539" t="s">
        <v>35</v>
      </c>
      <c r="F539" s="10">
        <v>0</v>
      </c>
      <c r="G539"/>
      <c r="H539" s="10">
        <v>4032.45</v>
      </c>
      <c r="I539" t="s">
        <v>35</v>
      </c>
      <c r="J539" s="10">
        <v>14490.7</v>
      </c>
      <c r="K539" t="s">
        <v>35</v>
      </c>
      <c r="L539" s="1">
        <f t="shared" si="8"/>
        <v>-14490.7</v>
      </c>
      <c r="N539" s="6" t="str">
        <f>IF(ISERROR(VLOOKUP($A539,'Plano de Contas'!#REF!,8,FALSE)),"",VLOOKUP($A539,'Plano de Contas'!#REF!,8,FALSE))</f>
        <v/>
      </c>
      <c r="P539" s="6" t="str">
        <f>IF(ISERROR(VLOOKUP($A539,'Plano de Contas'!#REF!,10,FALSE)),"",VLOOKUP($A539,'Plano de Contas'!#REF!,10,FALSE))</f>
        <v/>
      </c>
      <c r="R539" s="6" t="e">
        <f>VLOOKUP(A539,'Plano de Contas'!#REF!,12,FALSE)</f>
        <v>#REF!</v>
      </c>
      <c r="T539" s="6" t="e">
        <f>VLOOKUP(A539,'Plano de Contas'!#REF!,13,FALSE)</f>
        <v>#REF!</v>
      </c>
    </row>
    <row r="540" spans="1:20" s="5" customFormat="1" x14ac:dyDescent="0.25">
      <c r="A540" t="s">
        <v>947</v>
      </c>
      <c r="B540">
        <v>290</v>
      </c>
      <c r="C540" t="s">
        <v>948</v>
      </c>
      <c r="D540" s="10">
        <v>436818.95</v>
      </c>
      <c r="E540" t="s">
        <v>35</v>
      </c>
      <c r="F540" s="10">
        <v>3835.26</v>
      </c>
      <c r="G540"/>
      <c r="H540" s="10">
        <v>4043.93</v>
      </c>
      <c r="I540" t="s">
        <v>35</v>
      </c>
      <c r="J540" s="10">
        <v>437027.62</v>
      </c>
      <c r="K540" t="s">
        <v>35</v>
      </c>
      <c r="L540" s="1">
        <f t="shared" si="8"/>
        <v>-437027.62</v>
      </c>
      <c r="N540" s="6" t="str">
        <f>IF(ISERROR(VLOOKUP($A540,'Plano de Contas'!#REF!,8,FALSE)),"",VLOOKUP($A540,'Plano de Contas'!#REF!,8,FALSE))</f>
        <v/>
      </c>
      <c r="P540" s="6" t="str">
        <f>IF(ISERROR(VLOOKUP($A540,'Plano de Contas'!#REF!,10,FALSE)),"",VLOOKUP($A540,'Plano de Contas'!#REF!,10,FALSE))</f>
        <v/>
      </c>
      <c r="R540" s="6" t="e">
        <f>VLOOKUP(A540,'Plano de Contas'!#REF!,12,FALSE)</f>
        <v>#REF!</v>
      </c>
      <c r="T540" s="6" t="e">
        <f>VLOOKUP(A540,'Plano de Contas'!#REF!,13,FALSE)</f>
        <v>#REF!</v>
      </c>
    </row>
    <row r="541" spans="1:20" s="5" customFormat="1" x14ac:dyDescent="0.25">
      <c r="A541" t="s">
        <v>949</v>
      </c>
      <c r="B541">
        <v>291</v>
      </c>
      <c r="C541" t="s">
        <v>950</v>
      </c>
      <c r="D541" s="10">
        <v>4.83</v>
      </c>
      <c r="E541" t="s">
        <v>35</v>
      </c>
      <c r="F541" s="10">
        <v>0</v>
      </c>
      <c r="G541"/>
      <c r="H541">
        <v>0.96</v>
      </c>
      <c r="I541" t="s">
        <v>35</v>
      </c>
      <c r="J541" s="10">
        <v>5.79</v>
      </c>
      <c r="K541" t="s">
        <v>35</v>
      </c>
      <c r="L541" s="1">
        <f t="shared" si="8"/>
        <v>-5.79</v>
      </c>
      <c r="N541" s="6" t="str">
        <f>IF(ISERROR(VLOOKUP($A541,'Plano de Contas'!#REF!,8,FALSE)),"",VLOOKUP($A541,'Plano de Contas'!#REF!,8,FALSE))</f>
        <v/>
      </c>
      <c r="P541" s="6" t="str">
        <f>IF(ISERROR(VLOOKUP($A541,'Plano de Contas'!#REF!,10,FALSE)),"",VLOOKUP($A541,'Plano de Contas'!#REF!,10,FALSE))</f>
        <v/>
      </c>
      <c r="R541" s="6" t="e">
        <f>VLOOKUP(A541,'Plano de Contas'!#REF!,12,FALSE)</f>
        <v>#REF!</v>
      </c>
      <c r="T541" s="6" t="e">
        <f>VLOOKUP(A541,'Plano de Contas'!#REF!,13,FALSE)</f>
        <v>#REF!</v>
      </c>
    </row>
    <row r="542" spans="1:20" s="5" customFormat="1" x14ac:dyDescent="0.25">
      <c r="A542" t="s">
        <v>951</v>
      </c>
      <c r="B542">
        <v>329</v>
      </c>
      <c r="C542" t="s">
        <v>952</v>
      </c>
      <c r="D542" s="10">
        <v>3384.84</v>
      </c>
      <c r="E542" t="s">
        <v>35</v>
      </c>
      <c r="F542" s="10">
        <v>0</v>
      </c>
      <c r="G542"/>
      <c r="H542" s="10">
        <v>208.8</v>
      </c>
      <c r="I542" t="s">
        <v>35</v>
      </c>
      <c r="J542" s="10">
        <v>3593.64</v>
      </c>
      <c r="K542" t="s">
        <v>35</v>
      </c>
      <c r="L542" s="1">
        <f t="shared" si="8"/>
        <v>-3593.64</v>
      </c>
      <c r="N542" s="6" t="str">
        <f>IF(ISERROR(VLOOKUP($A542,'Plano de Contas'!#REF!,8,FALSE)),"",VLOOKUP($A542,'Plano de Contas'!#REF!,8,FALSE))</f>
        <v/>
      </c>
      <c r="P542" s="6" t="str">
        <f>IF(ISERROR(VLOOKUP($A542,'Plano de Contas'!#REF!,10,FALSE)),"",VLOOKUP($A542,'Plano de Contas'!#REF!,10,FALSE))</f>
        <v/>
      </c>
      <c r="R542" s="6" t="e">
        <f>VLOOKUP(A542,'Plano de Contas'!#REF!,12,FALSE)</f>
        <v>#REF!</v>
      </c>
      <c r="T542" s="6" t="e">
        <f>VLOOKUP(A542,'Plano de Contas'!#REF!,13,FALSE)</f>
        <v>#REF!</v>
      </c>
    </row>
    <row r="543" spans="1:20" s="5" customFormat="1" x14ac:dyDescent="0.25">
      <c r="A543"/>
      <c r="B543"/>
      <c r="C543"/>
      <c r="D543" s="10"/>
      <c r="E543"/>
      <c r="F543" s="10"/>
      <c r="G543"/>
      <c r="H543"/>
      <c r="I543"/>
      <c r="J543" s="10"/>
      <c r="K543"/>
      <c r="L543" s="1">
        <f t="shared" si="8"/>
        <v>0</v>
      </c>
      <c r="N543" s="6" t="str">
        <f>IF(ISERROR(VLOOKUP($A543,'Plano de Contas'!#REF!,8,FALSE)),"",VLOOKUP($A543,'Plano de Contas'!#REF!,8,FALSE))</f>
        <v/>
      </c>
      <c r="P543" s="6" t="str">
        <f>IF(ISERROR(VLOOKUP($A543,'Plano de Contas'!#REF!,10,FALSE)),"",VLOOKUP($A543,'Plano de Contas'!#REF!,10,FALSE))</f>
        <v/>
      </c>
      <c r="R543" s="6" t="e">
        <f>VLOOKUP(A543,'Plano de Contas'!#REF!,12,FALSE)</f>
        <v>#REF!</v>
      </c>
      <c r="T543" s="6" t="e">
        <f>VLOOKUP(A543,'Plano de Contas'!#REF!,13,FALSE)</f>
        <v>#REF!</v>
      </c>
    </row>
    <row r="544" spans="1:20" s="5" customFormat="1" x14ac:dyDescent="0.25">
      <c r="A544" t="s">
        <v>953</v>
      </c>
      <c r="B544">
        <v>292</v>
      </c>
      <c r="C544" t="s">
        <v>954</v>
      </c>
      <c r="D544" s="10">
        <v>9327516.5199999996</v>
      </c>
      <c r="E544"/>
      <c r="F544" s="10">
        <v>88369.85</v>
      </c>
      <c r="G544"/>
      <c r="H544" s="10">
        <v>1620.78</v>
      </c>
      <c r="I544" t="s">
        <v>35</v>
      </c>
      <c r="J544" s="10">
        <v>9414265.5899999999</v>
      </c>
      <c r="K544"/>
      <c r="L544" s="1">
        <f t="shared" si="8"/>
        <v>9414265.5899999999</v>
      </c>
      <c r="N544" s="6" t="str">
        <f>IF(ISERROR(VLOOKUP($A544,'Plano de Contas'!#REF!,8,FALSE)),"",VLOOKUP($A544,'Plano de Contas'!#REF!,8,FALSE))</f>
        <v/>
      </c>
      <c r="P544" s="6" t="str">
        <f>IF(ISERROR(VLOOKUP($A544,'Plano de Contas'!#REF!,10,FALSE)),"",VLOOKUP($A544,'Plano de Contas'!#REF!,10,FALSE))</f>
        <v/>
      </c>
      <c r="R544" s="6" t="e">
        <f>VLOOKUP(A544,'Plano de Contas'!#REF!,12,FALSE)</f>
        <v>#REF!</v>
      </c>
      <c r="T544" s="6" t="e">
        <f>VLOOKUP(A544,'Plano de Contas'!#REF!,13,FALSE)</f>
        <v>#REF!</v>
      </c>
    </row>
    <row r="545" spans="1:20" s="5" customFormat="1" x14ac:dyDescent="0.25">
      <c r="A545"/>
      <c r="B545"/>
      <c r="C545"/>
      <c r="D545" s="10"/>
      <c r="E545"/>
      <c r="F545" s="10"/>
      <c r="G545"/>
      <c r="H545" s="10"/>
      <c r="I545"/>
      <c r="J545" s="10"/>
      <c r="K545"/>
      <c r="L545" s="1">
        <f t="shared" si="8"/>
        <v>0</v>
      </c>
      <c r="N545" s="6" t="str">
        <f>IF(ISERROR(VLOOKUP($A545,'Plano de Contas'!#REF!,8,FALSE)),"",VLOOKUP($A545,'Plano de Contas'!#REF!,8,FALSE))</f>
        <v/>
      </c>
      <c r="P545" s="6" t="str">
        <f>IF(ISERROR(VLOOKUP($A545,'Plano de Contas'!#REF!,10,FALSE)),"",VLOOKUP($A545,'Plano de Contas'!#REF!,10,FALSE))</f>
        <v/>
      </c>
      <c r="R545" s="6" t="e">
        <f>VLOOKUP(A545,'Plano de Contas'!#REF!,12,FALSE)</f>
        <v>#REF!</v>
      </c>
      <c r="T545" s="6" t="e">
        <f>VLOOKUP(A545,'Plano de Contas'!#REF!,13,FALSE)</f>
        <v>#REF!</v>
      </c>
    </row>
    <row r="546" spans="1:20" s="5" customFormat="1" x14ac:dyDescent="0.25">
      <c r="A546" t="s">
        <v>955</v>
      </c>
      <c r="B546">
        <v>293</v>
      </c>
      <c r="C546" t="s">
        <v>956</v>
      </c>
      <c r="D546" s="10">
        <v>9327516.5199999996</v>
      </c>
      <c r="E546"/>
      <c r="F546" s="10">
        <v>88369.85</v>
      </c>
      <c r="G546"/>
      <c r="H546" s="10">
        <v>1620.78</v>
      </c>
      <c r="I546" t="s">
        <v>35</v>
      </c>
      <c r="J546" s="10">
        <v>9414265.5899999999</v>
      </c>
      <c r="K546"/>
      <c r="L546" s="1">
        <f t="shared" si="8"/>
        <v>9414265.5899999999</v>
      </c>
      <c r="N546" s="6" t="str">
        <f>IF(ISERROR(VLOOKUP($A546,'Plano de Contas'!#REF!,8,FALSE)),"",VLOOKUP($A546,'Plano de Contas'!#REF!,8,FALSE))</f>
        <v/>
      </c>
      <c r="P546" s="6" t="str">
        <f>IF(ISERROR(VLOOKUP($A546,'Plano de Contas'!#REF!,10,FALSE)),"",VLOOKUP($A546,'Plano de Contas'!#REF!,10,FALSE))</f>
        <v/>
      </c>
      <c r="R546" s="6" t="e">
        <f>VLOOKUP(A546,'Plano de Contas'!#REF!,12,FALSE)</f>
        <v>#REF!</v>
      </c>
      <c r="T546" s="6" t="e">
        <f>VLOOKUP(A546,'Plano de Contas'!#REF!,13,FALSE)</f>
        <v>#REF!</v>
      </c>
    </row>
    <row r="547" spans="1:20" s="5" customFormat="1" x14ac:dyDescent="0.25">
      <c r="A547" t="s">
        <v>957</v>
      </c>
      <c r="B547">
        <v>294</v>
      </c>
      <c r="C547" t="s">
        <v>958</v>
      </c>
      <c r="D547" s="10">
        <v>21525.99</v>
      </c>
      <c r="E547"/>
      <c r="F547" s="10">
        <v>1305.8800000000001</v>
      </c>
      <c r="G547"/>
      <c r="H547" s="10">
        <v>8</v>
      </c>
      <c r="I547" t="s">
        <v>35</v>
      </c>
      <c r="J547" s="10">
        <v>22823.87</v>
      </c>
      <c r="K547"/>
      <c r="L547" s="1">
        <f t="shared" si="8"/>
        <v>22823.87</v>
      </c>
      <c r="N547" s="6" t="str">
        <f>IF(ISERROR(VLOOKUP($A547,'Plano de Contas'!#REF!,8,FALSE)),"",VLOOKUP($A547,'Plano de Contas'!#REF!,8,FALSE))</f>
        <v/>
      </c>
      <c r="P547" s="6" t="str">
        <f>IF(ISERROR(VLOOKUP($A547,'Plano de Contas'!#REF!,10,FALSE)),"",VLOOKUP($A547,'Plano de Contas'!#REF!,10,FALSE))</f>
        <v/>
      </c>
      <c r="R547" s="6" t="e">
        <f>VLOOKUP(A547,'Plano de Contas'!#REF!,12,FALSE)</f>
        <v>#REF!</v>
      </c>
      <c r="T547" s="6" t="e">
        <f>VLOOKUP(A547,'Plano de Contas'!#REF!,13,FALSE)</f>
        <v>#REF!</v>
      </c>
    </row>
    <row r="548" spans="1:20" s="5" customFormat="1" x14ac:dyDescent="0.25">
      <c r="A548" t="s">
        <v>959</v>
      </c>
      <c r="B548">
        <v>295</v>
      </c>
      <c r="C548" t="s">
        <v>960</v>
      </c>
      <c r="D548" s="10">
        <v>9278686.4600000009</v>
      </c>
      <c r="E548"/>
      <c r="F548" s="10">
        <v>0</v>
      </c>
      <c r="G548"/>
      <c r="H548">
        <v>0</v>
      </c>
      <c r="I548"/>
      <c r="J548" s="10">
        <v>9278686.4600000009</v>
      </c>
      <c r="K548"/>
      <c r="L548" s="1">
        <f t="shared" si="8"/>
        <v>9278686.4600000009</v>
      </c>
      <c r="N548" s="6" t="str">
        <f>IF(ISERROR(VLOOKUP($A548,'Plano de Contas'!#REF!,8,FALSE)),"",VLOOKUP($A548,'Plano de Contas'!#REF!,8,FALSE))</f>
        <v/>
      </c>
      <c r="P548" s="6" t="str">
        <f>IF(ISERROR(VLOOKUP($A548,'Plano de Contas'!#REF!,10,FALSE)),"",VLOOKUP($A548,'Plano de Contas'!#REF!,10,FALSE))</f>
        <v/>
      </c>
      <c r="R548" s="6" t="e">
        <f>VLOOKUP(A548,'Plano de Contas'!#REF!,12,FALSE)</f>
        <v>#REF!</v>
      </c>
      <c r="T548" s="6" t="e">
        <f>VLOOKUP(A548,'Plano de Contas'!#REF!,13,FALSE)</f>
        <v>#REF!</v>
      </c>
    </row>
    <row r="549" spans="1:20" s="5" customFormat="1" x14ac:dyDescent="0.25">
      <c r="A549" t="s">
        <v>961</v>
      </c>
      <c r="B549">
        <v>296</v>
      </c>
      <c r="C549" t="s">
        <v>962</v>
      </c>
      <c r="D549" s="10">
        <v>27304.07</v>
      </c>
      <c r="E549"/>
      <c r="F549" s="10">
        <v>87063.97</v>
      </c>
      <c r="G549"/>
      <c r="H549" s="10">
        <v>1612.78</v>
      </c>
      <c r="I549" t="s">
        <v>35</v>
      </c>
      <c r="J549" s="10">
        <v>112755.26</v>
      </c>
      <c r="K549"/>
      <c r="L549" s="1">
        <f t="shared" si="8"/>
        <v>112755.26</v>
      </c>
      <c r="N549" s="6" t="str">
        <f>IF(ISERROR(VLOOKUP($A549,'Plano de Contas'!#REF!,8,FALSE)),"",VLOOKUP($A549,'Plano de Contas'!#REF!,8,FALSE))</f>
        <v/>
      </c>
      <c r="P549" s="6" t="str">
        <f>IF(ISERROR(VLOOKUP($A549,'Plano de Contas'!#REF!,10,FALSE)),"",VLOOKUP($A549,'Plano de Contas'!#REF!,10,FALSE))</f>
        <v/>
      </c>
      <c r="R549" s="6" t="e">
        <f>VLOOKUP(A549,'Plano de Contas'!#REF!,12,FALSE)</f>
        <v>#REF!</v>
      </c>
      <c r="T549" s="6" t="e">
        <f>VLOOKUP(A549,'Plano de Contas'!#REF!,13,FALSE)</f>
        <v>#REF!</v>
      </c>
    </row>
    <row r="550" spans="1:20" s="5" customFormat="1" x14ac:dyDescent="0.25">
      <c r="A550"/>
      <c r="B550"/>
      <c r="C550"/>
      <c r="D550" s="10"/>
      <c r="E550"/>
      <c r="F550" s="10"/>
      <c r="G550"/>
      <c r="H550" s="10"/>
      <c r="I550"/>
      <c r="J550" s="10"/>
      <c r="K550"/>
      <c r="L550" s="1">
        <f t="shared" si="8"/>
        <v>0</v>
      </c>
      <c r="N550" s="6" t="str">
        <f>IF(ISERROR(VLOOKUP($A550,'Plano de Contas'!#REF!,8,FALSE)),"",VLOOKUP($A550,'Plano de Contas'!#REF!,8,FALSE))</f>
        <v/>
      </c>
      <c r="P550" s="6" t="str">
        <f>IF(ISERROR(VLOOKUP($A550,'Plano de Contas'!#REF!,10,FALSE)),"",VLOOKUP($A550,'Plano de Contas'!#REF!,10,FALSE))</f>
        <v/>
      </c>
      <c r="R550" s="6" t="e">
        <f>VLOOKUP(A550,'Plano de Contas'!#REF!,12,FALSE)</f>
        <v>#REF!</v>
      </c>
      <c r="T550" s="6" t="e">
        <f>VLOOKUP(A550,'Plano de Contas'!#REF!,13,FALSE)</f>
        <v>#REF!</v>
      </c>
    </row>
    <row r="551" spans="1:20" s="5" customFormat="1" x14ac:dyDescent="0.25">
      <c r="A551" t="s">
        <v>1243</v>
      </c>
      <c r="B551">
        <v>297</v>
      </c>
      <c r="C551" t="s">
        <v>1244</v>
      </c>
      <c r="D551" s="10">
        <v>2211108.98</v>
      </c>
      <c r="E551"/>
      <c r="F551" s="10">
        <v>0</v>
      </c>
      <c r="G551"/>
      <c r="H551" s="10">
        <v>83756.75</v>
      </c>
      <c r="I551" t="s">
        <v>35</v>
      </c>
      <c r="J551" s="10">
        <v>2127352.23</v>
      </c>
      <c r="K551"/>
      <c r="L551" s="1">
        <f t="shared" si="8"/>
        <v>2127352.23</v>
      </c>
      <c r="N551" s="6" t="str">
        <f>IF(ISERROR(VLOOKUP($A551,'Plano de Contas'!#REF!,8,FALSE)),"",VLOOKUP($A551,'Plano de Contas'!#REF!,8,FALSE))</f>
        <v/>
      </c>
      <c r="P551" s="6" t="str">
        <f>IF(ISERROR(VLOOKUP($A551,'Plano de Contas'!#REF!,10,FALSE)),"",VLOOKUP($A551,'Plano de Contas'!#REF!,10,FALSE))</f>
        <v/>
      </c>
      <c r="R551" s="6" t="e">
        <f>VLOOKUP(A551,'Plano de Contas'!#REF!,12,FALSE)</f>
        <v>#REF!</v>
      </c>
      <c r="T551" s="6" t="e">
        <f>VLOOKUP(A551,'Plano de Contas'!#REF!,13,FALSE)</f>
        <v>#REF!</v>
      </c>
    </row>
    <row r="552" spans="1:20" s="5" customFormat="1" x14ac:dyDescent="0.25">
      <c r="A552"/>
      <c r="B552"/>
      <c r="C552"/>
      <c r="D552" s="10"/>
      <c r="E552"/>
      <c r="F552"/>
      <c r="G552"/>
      <c r="H552" s="10"/>
      <c r="I552"/>
      <c r="J552" s="10"/>
      <c r="K552"/>
      <c r="L552" s="1">
        <f t="shared" si="8"/>
        <v>0</v>
      </c>
      <c r="N552" s="6" t="str">
        <f>IF(ISERROR(VLOOKUP($A552,'Plano de Contas'!#REF!,8,FALSE)),"",VLOOKUP($A552,'Plano de Contas'!#REF!,8,FALSE))</f>
        <v/>
      </c>
      <c r="P552" s="6" t="str">
        <f>IF(ISERROR(VLOOKUP($A552,'Plano de Contas'!#REF!,10,FALSE)),"",VLOOKUP($A552,'Plano de Contas'!#REF!,10,FALSE))</f>
        <v/>
      </c>
      <c r="R552" s="6" t="e">
        <f>VLOOKUP(A552,'Plano de Contas'!#REF!,12,FALSE)</f>
        <v>#REF!</v>
      </c>
      <c r="T552" s="6" t="e">
        <f>VLOOKUP(A552,'Plano de Contas'!#REF!,13,FALSE)</f>
        <v>#REF!</v>
      </c>
    </row>
    <row r="553" spans="1:20" s="5" customFormat="1" x14ac:dyDescent="0.25">
      <c r="A553" t="s">
        <v>1245</v>
      </c>
      <c r="B553">
        <v>298</v>
      </c>
      <c r="C553" t="s">
        <v>1246</v>
      </c>
      <c r="D553" s="10">
        <v>2211108.98</v>
      </c>
      <c r="E553"/>
      <c r="F553" s="10">
        <v>0</v>
      </c>
      <c r="G553"/>
      <c r="H553" s="10">
        <v>83756.75</v>
      </c>
      <c r="I553" t="s">
        <v>35</v>
      </c>
      <c r="J553" s="10">
        <v>2127352.23</v>
      </c>
      <c r="K553"/>
      <c r="L553" s="1">
        <f t="shared" si="8"/>
        <v>2127352.23</v>
      </c>
      <c r="N553" s="6" t="str">
        <f>IF(ISERROR(VLOOKUP($A553,'Plano de Contas'!#REF!,8,FALSE)),"",VLOOKUP($A553,'Plano de Contas'!#REF!,8,FALSE))</f>
        <v/>
      </c>
      <c r="P553" s="6" t="str">
        <f>IF(ISERROR(VLOOKUP($A553,'Plano de Contas'!#REF!,10,FALSE)),"",VLOOKUP($A553,'Plano de Contas'!#REF!,10,FALSE))</f>
        <v/>
      </c>
      <c r="R553" s="6" t="e">
        <f>VLOOKUP(A553,'Plano de Contas'!#REF!,12,FALSE)</f>
        <v>#REF!</v>
      </c>
      <c r="T553" s="6" t="e">
        <f>VLOOKUP(A553,'Plano de Contas'!#REF!,13,FALSE)</f>
        <v>#REF!</v>
      </c>
    </row>
    <row r="554" spans="1:20" s="5" customFormat="1" x14ac:dyDescent="0.25">
      <c r="A554"/>
      <c r="B554"/>
      <c r="C554"/>
      <c r="D554" s="10"/>
      <c r="E554"/>
      <c r="F554" s="10"/>
      <c r="G554"/>
      <c r="H554" s="10"/>
      <c r="I554"/>
      <c r="J554" s="10"/>
      <c r="K554"/>
      <c r="L554" s="1">
        <f t="shared" si="8"/>
        <v>0</v>
      </c>
      <c r="N554" s="6" t="str">
        <f>IF(ISERROR(VLOOKUP($A554,'Plano de Contas'!#REF!,8,FALSE)),"",VLOOKUP($A554,'Plano de Contas'!#REF!,8,FALSE))</f>
        <v/>
      </c>
      <c r="P554" s="6" t="str">
        <f>IF(ISERROR(VLOOKUP($A554,'Plano de Contas'!#REF!,10,FALSE)),"",VLOOKUP($A554,'Plano de Contas'!#REF!,10,FALSE))</f>
        <v/>
      </c>
      <c r="R554" s="6" t="e">
        <f>VLOOKUP(A554,'Plano de Contas'!#REF!,12,FALSE)</f>
        <v>#REF!</v>
      </c>
      <c r="T554" s="6" t="e">
        <f>VLOOKUP(A554,'Plano de Contas'!#REF!,13,FALSE)</f>
        <v>#REF!</v>
      </c>
    </row>
    <row r="555" spans="1:20" s="5" customFormat="1" x14ac:dyDescent="0.25">
      <c r="A555" t="s">
        <v>1247</v>
      </c>
      <c r="B555">
        <v>531</v>
      </c>
      <c r="C555" t="s">
        <v>1248</v>
      </c>
      <c r="D555" s="10">
        <v>2211108.98</v>
      </c>
      <c r="E555"/>
      <c r="F555" s="10">
        <v>0</v>
      </c>
      <c r="G555"/>
      <c r="H555" s="10">
        <v>83756.75</v>
      </c>
      <c r="I555" t="s">
        <v>35</v>
      </c>
      <c r="J555" s="10">
        <v>2127352.23</v>
      </c>
      <c r="K555"/>
      <c r="L555" s="1">
        <f t="shared" si="8"/>
        <v>2127352.23</v>
      </c>
      <c r="N555" s="6" t="str">
        <f>IF(ISERROR(VLOOKUP($A555,'Plano de Contas'!#REF!,8,FALSE)),"",VLOOKUP($A555,'Plano de Contas'!#REF!,8,FALSE))</f>
        <v/>
      </c>
      <c r="P555" s="6" t="str">
        <f>IF(ISERROR(VLOOKUP($A555,'Plano de Contas'!#REF!,10,FALSE)),"",VLOOKUP($A555,'Plano de Contas'!#REF!,10,FALSE))</f>
        <v/>
      </c>
      <c r="R555" s="6" t="e">
        <f>VLOOKUP(A555,'Plano de Contas'!#REF!,12,FALSE)</f>
        <v>#REF!</v>
      </c>
      <c r="T555" s="6" t="e">
        <f>VLOOKUP(A555,'Plano de Contas'!#REF!,13,FALSE)</f>
        <v>#REF!</v>
      </c>
    </row>
    <row r="556" spans="1:20" s="5" customFormat="1" x14ac:dyDescent="0.25">
      <c r="A556" t="s">
        <v>1249</v>
      </c>
      <c r="B556">
        <v>532</v>
      </c>
      <c r="C556" t="s">
        <v>1250</v>
      </c>
      <c r="D556" s="10">
        <v>1480531.28</v>
      </c>
      <c r="E556"/>
      <c r="F556">
        <v>0</v>
      </c>
      <c r="G556"/>
      <c r="H556" s="10">
        <v>61585.63</v>
      </c>
      <c r="I556" t="s">
        <v>35</v>
      </c>
      <c r="J556" s="10">
        <v>1418945.65</v>
      </c>
      <c r="K556"/>
      <c r="L556" s="1">
        <f t="shared" si="8"/>
        <v>1418945.65</v>
      </c>
      <c r="N556" s="6" t="str">
        <f>IF(ISERROR(VLOOKUP($A556,'Plano de Contas'!#REF!,8,FALSE)),"",VLOOKUP($A556,'Plano de Contas'!#REF!,8,FALSE))</f>
        <v/>
      </c>
      <c r="P556" s="6" t="str">
        <f>IF(ISERROR(VLOOKUP($A556,'Plano de Contas'!#REF!,10,FALSE)),"",VLOOKUP($A556,'Plano de Contas'!#REF!,10,FALSE))</f>
        <v/>
      </c>
      <c r="R556" s="6" t="e">
        <f>VLOOKUP(A556,'Plano de Contas'!#REF!,12,FALSE)</f>
        <v>#REF!</v>
      </c>
      <c r="T556" s="6" t="e">
        <f>VLOOKUP(A556,'Plano de Contas'!#REF!,13,FALSE)</f>
        <v>#REF!</v>
      </c>
    </row>
    <row r="557" spans="1:20" s="5" customFormat="1" x14ac:dyDescent="0.25">
      <c r="A557" t="s">
        <v>1251</v>
      </c>
      <c r="B557">
        <v>533</v>
      </c>
      <c r="C557" t="s">
        <v>1079</v>
      </c>
      <c r="D557" s="10">
        <v>730577.7</v>
      </c>
      <c r="E557"/>
      <c r="F557" s="10">
        <v>0</v>
      </c>
      <c r="G557"/>
      <c r="H557" s="10">
        <v>-22171.119999999999</v>
      </c>
      <c r="I557"/>
      <c r="J557" s="10">
        <v>708406.58</v>
      </c>
      <c r="K557"/>
      <c r="L557" s="1">
        <f t="shared" si="8"/>
        <v>708406.58</v>
      </c>
      <c r="N557" s="6" t="str">
        <f>IF(ISERROR(VLOOKUP($A557,'Plano de Contas'!#REF!,8,FALSE)),"",VLOOKUP($A557,'Plano de Contas'!#REF!,8,FALSE))</f>
        <v/>
      </c>
      <c r="P557" s="6" t="str">
        <f>IF(ISERROR(VLOOKUP($A557,'Plano de Contas'!#REF!,10,FALSE)),"",VLOOKUP($A557,'Plano de Contas'!#REF!,10,FALSE))</f>
        <v/>
      </c>
      <c r="R557" s="6" t="e">
        <f>VLOOKUP(A557,'Plano de Contas'!#REF!,12,FALSE)</f>
        <v>#REF!</v>
      </c>
      <c r="T557" s="6" t="e">
        <f>VLOOKUP(A557,'Plano de Contas'!#REF!,13,FALSE)</f>
        <v>#REF!</v>
      </c>
    </row>
    <row r="558" spans="1:20" s="5" customFormat="1" x14ac:dyDescent="0.25">
      <c r="A558"/>
      <c r="B558"/>
      <c r="C558"/>
      <c r="D558"/>
      <c r="E558"/>
      <c r="F558" s="10"/>
      <c r="G558"/>
      <c r="H558"/>
      <c r="I558"/>
      <c r="J558" s="10"/>
      <c r="K558"/>
      <c r="L558" s="1">
        <f t="shared" si="8"/>
        <v>0</v>
      </c>
      <c r="N558" s="6" t="str">
        <f>IF(ISERROR(VLOOKUP($A558,'Plano de Contas'!#REF!,8,FALSE)),"",VLOOKUP($A558,'Plano de Contas'!#REF!,8,FALSE))</f>
        <v/>
      </c>
      <c r="P558" s="6" t="str">
        <f>IF(ISERROR(VLOOKUP($A558,'Plano de Contas'!#REF!,10,FALSE)),"",VLOOKUP($A558,'Plano de Contas'!#REF!,10,FALSE))</f>
        <v/>
      </c>
      <c r="R558" s="6" t="e">
        <f>VLOOKUP(A558,'Plano de Contas'!#REF!,12,FALSE)</f>
        <v>#REF!</v>
      </c>
      <c r="T558" s="6" t="e">
        <f>VLOOKUP(A558,'Plano de Contas'!#REF!,13,FALSE)</f>
        <v>#REF!</v>
      </c>
    </row>
    <row r="559" spans="1:20" s="5" customFormat="1" x14ac:dyDescent="0.25">
      <c r="A559">
        <v>4</v>
      </c>
      <c r="B559">
        <v>306</v>
      </c>
      <c r="C559" t="s">
        <v>963</v>
      </c>
      <c r="D559" s="10">
        <v>325942.09999999998</v>
      </c>
      <c r="E559"/>
      <c r="F559" s="10">
        <v>0</v>
      </c>
      <c r="G559"/>
      <c r="H559">
        <v>0</v>
      </c>
      <c r="I559"/>
      <c r="J559" s="10">
        <v>325942.09999999998</v>
      </c>
      <c r="K559"/>
      <c r="L559" s="1">
        <f t="shared" si="8"/>
        <v>325942.09999999998</v>
      </c>
      <c r="N559" s="6" t="str">
        <f>IF(ISERROR(VLOOKUP($A559,'Plano de Contas'!#REF!,8,FALSE)),"",VLOOKUP($A559,'Plano de Contas'!#REF!,8,FALSE))</f>
        <v/>
      </c>
      <c r="P559" s="6" t="str">
        <f>IF(ISERROR(VLOOKUP($A559,'Plano de Contas'!#REF!,10,FALSE)),"",VLOOKUP($A559,'Plano de Contas'!#REF!,10,FALSE))</f>
        <v/>
      </c>
      <c r="R559" s="6" t="e">
        <f>VLOOKUP(A559,'Plano de Contas'!#REF!,12,FALSE)</f>
        <v>#REF!</v>
      </c>
      <c r="T559" s="6" t="e">
        <f>VLOOKUP(A559,'Plano de Contas'!#REF!,13,FALSE)</f>
        <v>#REF!</v>
      </c>
    </row>
    <row r="560" spans="1:20" s="5" customFormat="1" x14ac:dyDescent="0.25">
      <c r="A560"/>
      <c r="B560"/>
      <c r="C560"/>
      <c r="D560" s="10"/>
      <c r="E560"/>
      <c r="F560"/>
      <c r="G560"/>
      <c r="H560"/>
      <c r="I560"/>
      <c r="J560" s="10"/>
      <c r="K560"/>
      <c r="L560" s="1">
        <f t="shared" si="8"/>
        <v>0</v>
      </c>
      <c r="N560" s="6" t="str">
        <f>IF(ISERROR(VLOOKUP($A560,'Plano de Contas'!#REF!,8,FALSE)),"",VLOOKUP($A560,'Plano de Contas'!#REF!,8,FALSE))</f>
        <v/>
      </c>
      <c r="P560" s="6" t="str">
        <f>IF(ISERROR(VLOOKUP($A560,'Plano de Contas'!#REF!,10,FALSE)),"",VLOOKUP($A560,'Plano de Contas'!#REF!,10,FALSE))</f>
        <v/>
      </c>
      <c r="R560" s="6" t="e">
        <f>VLOOKUP(A560,'Plano de Contas'!#REF!,12,FALSE)</f>
        <v>#REF!</v>
      </c>
      <c r="T560" s="6" t="e">
        <f>VLOOKUP(A560,'Plano de Contas'!#REF!,13,FALSE)</f>
        <v>#REF!</v>
      </c>
    </row>
    <row r="561" spans="1:20" s="5" customFormat="1" x14ac:dyDescent="0.25">
      <c r="A561" t="s">
        <v>964</v>
      </c>
      <c r="B561">
        <v>307</v>
      </c>
      <c r="C561" t="s">
        <v>965</v>
      </c>
      <c r="D561" s="10">
        <v>325942.09999999998</v>
      </c>
      <c r="E561"/>
      <c r="F561" s="10">
        <v>0</v>
      </c>
      <c r="G561"/>
      <c r="H561">
        <v>0</v>
      </c>
      <c r="I561"/>
      <c r="J561" s="10">
        <v>325942.09999999998</v>
      </c>
      <c r="K561"/>
      <c r="L561" s="1">
        <f t="shared" si="8"/>
        <v>325942.09999999998</v>
      </c>
      <c r="N561" s="6" t="str">
        <f>IF(ISERROR(VLOOKUP($A561,'Plano de Contas'!#REF!,8,FALSE)),"",VLOOKUP($A561,'Plano de Contas'!#REF!,8,FALSE))</f>
        <v/>
      </c>
      <c r="P561" s="6" t="str">
        <f>IF(ISERROR(VLOOKUP($A561,'Plano de Contas'!#REF!,10,FALSE)),"",VLOOKUP($A561,'Plano de Contas'!#REF!,10,FALSE))</f>
        <v/>
      </c>
      <c r="R561" s="6" t="e">
        <f>VLOOKUP(A561,'Plano de Contas'!#REF!,12,FALSE)</f>
        <v>#REF!</v>
      </c>
      <c r="T561" s="6" t="e">
        <f>VLOOKUP(A561,'Plano de Contas'!#REF!,13,FALSE)</f>
        <v>#REF!</v>
      </c>
    </row>
    <row r="562" spans="1:20" s="5" customFormat="1" x14ac:dyDescent="0.25">
      <c r="A562"/>
      <c r="B562"/>
      <c r="C562"/>
      <c r="D562" s="10"/>
      <c r="E562"/>
      <c r="F562" s="10"/>
      <c r="G562"/>
      <c r="H562"/>
      <c r="I562"/>
      <c r="J562" s="10"/>
      <c r="K562"/>
      <c r="L562" s="1">
        <f t="shared" si="8"/>
        <v>0</v>
      </c>
      <c r="N562" s="6" t="str">
        <f>IF(ISERROR(VLOOKUP($A562,'Plano de Contas'!#REF!,8,FALSE)),"",VLOOKUP($A562,'Plano de Contas'!#REF!,8,FALSE))</f>
        <v/>
      </c>
      <c r="P562" s="6" t="str">
        <f>IF(ISERROR(VLOOKUP($A562,'Plano de Contas'!#REF!,10,FALSE)),"",VLOOKUP($A562,'Plano de Contas'!#REF!,10,FALSE))</f>
        <v/>
      </c>
      <c r="R562" s="6" t="e">
        <f>VLOOKUP(A562,'Plano de Contas'!#REF!,12,FALSE)</f>
        <v>#REF!</v>
      </c>
      <c r="T562" s="6" t="e">
        <f>VLOOKUP(A562,'Plano de Contas'!#REF!,13,FALSE)</f>
        <v>#REF!</v>
      </c>
    </row>
    <row r="563" spans="1:20" s="5" customFormat="1" x14ac:dyDescent="0.25">
      <c r="A563" t="s">
        <v>966</v>
      </c>
      <c r="B563">
        <v>308</v>
      </c>
      <c r="C563" t="s">
        <v>967</v>
      </c>
      <c r="D563" s="10">
        <v>325942.09999999998</v>
      </c>
      <c r="E563"/>
      <c r="F563" s="10">
        <v>0</v>
      </c>
      <c r="G563"/>
      <c r="H563">
        <v>0</v>
      </c>
      <c r="I563"/>
      <c r="J563" s="10">
        <v>325942.09999999998</v>
      </c>
      <c r="K563"/>
      <c r="L563" s="1">
        <f t="shared" si="8"/>
        <v>325942.09999999998</v>
      </c>
      <c r="N563" s="6" t="str">
        <f>IF(ISERROR(VLOOKUP($A563,'Plano de Contas'!#REF!,8,FALSE)),"",VLOOKUP($A563,'Plano de Contas'!#REF!,8,FALSE))</f>
        <v/>
      </c>
      <c r="P563" s="6" t="str">
        <f>IF(ISERROR(VLOOKUP($A563,'Plano de Contas'!#REF!,10,FALSE)),"",VLOOKUP($A563,'Plano de Contas'!#REF!,10,FALSE))</f>
        <v/>
      </c>
      <c r="R563" s="6" t="e">
        <f>VLOOKUP(A563,'Plano de Contas'!#REF!,12,FALSE)</f>
        <v>#REF!</v>
      </c>
      <c r="T563" s="6" t="e">
        <f>VLOOKUP(A563,'Plano de Contas'!#REF!,13,FALSE)</f>
        <v>#REF!</v>
      </c>
    </row>
    <row r="564" spans="1:20" s="5" customFormat="1" x14ac:dyDescent="0.25">
      <c r="A564"/>
      <c r="B564"/>
      <c r="C564"/>
      <c r="D564" s="10"/>
      <c r="E564"/>
      <c r="F564"/>
      <c r="G564"/>
      <c r="H564"/>
      <c r="I564"/>
      <c r="J564" s="10"/>
      <c r="K564"/>
      <c r="L564" s="1">
        <f t="shared" si="8"/>
        <v>0</v>
      </c>
      <c r="N564" s="6" t="str">
        <f>IF(ISERROR(VLOOKUP($A564,'Plano de Contas'!#REF!,8,FALSE)),"",VLOOKUP($A564,'Plano de Contas'!#REF!,8,FALSE))</f>
        <v/>
      </c>
      <c r="P564" s="6" t="str">
        <f>IF(ISERROR(VLOOKUP($A564,'Plano de Contas'!#REF!,10,FALSE)),"",VLOOKUP($A564,'Plano de Contas'!#REF!,10,FALSE))</f>
        <v/>
      </c>
      <c r="R564" s="6" t="e">
        <f>VLOOKUP(A564,'Plano de Contas'!#REF!,12,FALSE)</f>
        <v>#REF!</v>
      </c>
      <c r="T564" s="6" t="e">
        <f>VLOOKUP(A564,'Plano de Contas'!#REF!,13,FALSE)</f>
        <v>#REF!</v>
      </c>
    </row>
    <row r="565" spans="1:20" s="5" customFormat="1" x14ac:dyDescent="0.25">
      <c r="A565" t="s">
        <v>968</v>
      </c>
      <c r="B565">
        <v>309</v>
      </c>
      <c r="C565" t="s">
        <v>969</v>
      </c>
      <c r="D565" s="10">
        <v>325942.09999999998</v>
      </c>
      <c r="E565"/>
      <c r="F565" s="10">
        <v>0</v>
      </c>
      <c r="G565"/>
      <c r="H565">
        <v>0</v>
      </c>
      <c r="I565"/>
      <c r="J565" s="10">
        <v>325942.09999999998</v>
      </c>
      <c r="K565"/>
      <c r="L565" s="1">
        <f t="shared" si="8"/>
        <v>325942.09999999998</v>
      </c>
      <c r="N565" s="6" t="str">
        <f>IF(ISERROR(VLOOKUP($A565,'Plano de Contas'!#REF!,8,FALSE)),"",VLOOKUP($A565,'Plano de Contas'!#REF!,8,FALSE))</f>
        <v/>
      </c>
      <c r="P565" s="6" t="str">
        <f>IF(ISERROR(VLOOKUP($A565,'Plano de Contas'!#REF!,10,FALSE)),"",VLOOKUP($A565,'Plano de Contas'!#REF!,10,FALSE))</f>
        <v/>
      </c>
      <c r="R565" s="6" t="e">
        <f>VLOOKUP(A565,'Plano de Contas'!#REF!,12,FALSE)</f>
        <v>#REF!</v>
      </c>
      <c r="T565" s="6" t="e">
        <f>VLOOKUP(A565,'Plano de Contas'!#REF!,13,FALSE)</f>
        <v>#REF!</v>
      </c>
    </row>
    <row r="566" spans="1:20" s="5" customFormat="1" x14ac:dyDescent="0.25">
      <c r="A566" t="s">
        <v>970</v>
      </c>
      <c r="B566">
        <v>330</v>
      </c>
      <c r="C566" t="s">
        <v>750</v>
      </c>
      <c r="D566" s="10">
        <v>325942.09999999998</v>
      </c>
      <c r="E566"/>
      <c r="F566" s="10">
        <v>0</v>
      </c>
      <c r="G566"/>
      <c r="H566">
        <v>0</v>
      </c>
      <c r="I566"/>
      <c r="J566" s="10">
        <v>325942.09999999998</v>
      </c>
      <c r="K566"/>
      <c r="L566" s="1">
        <f t="shared" si="8"/>
        <v>325942.09999999998</v>
      </c>
      <c r="N566" s="6" t="str">
        <f>IF(ISERROR(VLOOKUP($A566,'Plano de Contas'!#REF!,8,FALSE)),"",VLOOKUP($A566,'Plano de Contas'!#REF!,8,FALSE))</f>
        <v/>
      </c>
      <c r="P566" s="6" t="str">
        <f>IF(ISERROR(VLOOKUP($A566,'Plano de Contas'!#REF!,10,FALSE)),"",VLOOKUP($A566,'Plano de Contas'!#REF!,10,FALSE))</f>
        <v/>
      </c>
      <c r="R566" s="6" t="e">
        <f>VLOOKUP(A566,'Plano de Contas'!#REF!,12,FALSE)</f>
        <v>#REF!</v>
      </c>
      <c r="T566" s="6" t="e">
        <f>VLOOKUP(A566,'Plano de Contas'!#REF!,13,FALSE)</f>
        <v>#REF!</v>
      </c>
    </row>
    <row r="567" spans="1:20" s="5" customFormat="1" x14ac:dyDescent="0.25">
      <c r="A567"/>
      <c r="B567"/>
      <c r="C567"/>
      <c r="D567"/>
      <c r="E567"/>
      <c r="F567" s="10"/>
      <c r="G567"/>
      <c r="H567"/>
      <c r="I567"/>
      <c r="J567" s="10"/>
      <c r="K567"/>
      <c r="L567" s="1">
        <f t="shared" si="8"/>
        <v>0</v>
      </c>
      <c r="N567" s="6" t="str">
        <f>IF(ISERROR(VLOOKUP($A567,'Plano de Contas'!#REF!,8,FALSE)),"",VLOOKUP($A567,'Plano de Contas'!#REF!,8,FALSE))</f>
        <v/>
      </c>
      <c r="P567" s="6" t="str">
        <f>IF(ISERROR(VLOOKUP($A567,'Plano de Contas'!#REF!,10,FALSE)),"",VLOOKUP($A567,'Plano de Contas'!#REF!,10,FALSE))</f>
        <v/>
      </c>
      <c r="R567" s="6" t="e">
        <f>VLOOKUP(A567,'Plano de Contas'!#REF!,12,FALSE)</f>
        <v>#REF!</v>
      </c>
      <c r="T567" s="6" t="e">
        <f>VLOOKUP(A567,'Plano de Contas'!#REF!,13,FALSE)</f>
        <v>#REF!</v>
      </c>
    </row>
    <row r="568" spans="1:20" s="5" customFormat="1" x14ac:dyDescent="0.25">
      <c r="A568">
        <v>5</v>
      </c>
      <c r="B568">
        <v>310</v>
      </c>
      <c r="C568" t="s">
        <v>971</v>
      </c>
      <c r="D568" s="10">
        <v>325942.09999999998</v>
      </c>
      <c r="E568" t="s">
        <v>35</v>
      </c>
      <c r="F568">
        <v>0</v>
      </c>
      <c r="G568"/>
      <c r="H568">
        <v>0</v>
      </c>
      <c r="I568"/>
      <c r="J568" s="10">
        <v>325942.09999999998</v>
      </c>
      <c r="K568" t="s">
        <v>35</v>
      </c>
      <c r="L568" s="1">
        <f t="shared" si="8"/>
        <v>-325942.09999999998</v>
      </c>
      <c r="N568" s="6" t="str">
        <f>IF(ISERROR(VLOOKUP($A568,'Plano de Contas'!#REF!,8,FALSE)),"",VLOOKUP($A568,'Plano de Contas'!#REF!,8,FALSE))</f>
        <v/>
      </c>
      <c r="P568" s="6" t="str">
        <f>IF(ISERROR(VLOOKUP($A568,'Plano de Contas'!#REF!,10,FALSE)),"",VLOOKUP($A568,'Plano de Contas'!#REF!,10,FALSE))</f>
        <v/>
      </c>
      <c r="R568" s="6" t="e">
        <f>VLOOKUP(A568,'Plano de Contas'!#REF!,12,FALSE)</f>
        <v>#REF!</v>
      </c>
      <c r="T568" s="6" t="e">
        <f>VLOOKUP(A568,'Plano de Contas'!#REF!,13,FALSE)</f>
        <v>#REF!</v>
      </c>
    </row>
    <row r="569" spans="1:20" s="5" customFormat="1" x14ac:dyDescent="0.25">
      <c r="A569"/>
      <c r="B569"/>
      <c r="C569"/>
      <c r="D569" s="10"/>
      <c r="E569"/>
      <c r="F569"/>
      <c r="G569"/>
      <c r="H569" s="10"/>
      <c r="I569"/>
      <c r="J569" s="10"/>
      <c r="K569"/>
      <c r="L569" s="1">
        <f t="shared" si="8"/>
        <v>0</v>
      </c>
      <c r="N569" s="6" t="str">
        <f>IF(ISERROR(VLOOKUP($A569,'Plano de Contas'!#REF!,8,FALSE)),"",VLOOKUP($A569,'Plano de Contas'!#REF!,8,FALSE))</f>
        <v/>
      </c>
      <c r="P569" s="6" t="str">
        <f>IF(ISERROR(VLOOKUP($A569,'Plano de Contas'!#REF!,10,FALSE)),"",VLOOKUP($A569,'Plano de Contas'!#REF!,10,FALSE))</f>
        <v/>
      </c>
      <c r="R569" s="6" t="e">
        <f>VLOOKUP(A569,'Plano de Contas'!#REF!,12,FALSE)</f>
        <v>#REF!</v>
      </c>
      <c r="T569" s="6" t="e">
        <f>VLOOKUP(A569,'Plano de Contas'!#REF!,13,FALSE)</f>
        <v>#REF!</v>
      </c>
    </row>
    <row r="570" spans="1:20" s="5" customFormat="1" x14ac:dyDescent="0.25">
      <c r="A570" t="s">
        <v>972</v>
      </c>
      <c r="B570">
        <v>311</v>
      </c>
      <c r="C570" t="s">
        <v>965</v>
      </c>
      <c r="D570" s="10">
        <v>325942.09999999998</v>
      </c>
      <c r="E570" t="s">
        <v>35</v>
      </c>
      <c r="F570">
        <v>0</v>
      </c>
      <c r="G570"/>
      <c r="H570" s="10">
        <v>0</v>
      </c>
      <c r="I570"/>
      <c r="J570" s="10">
        <v>325942.09999999998</v>
      </c>
      <c r="K570" t="s">
        <v>35</v>
      </c>
      <c r="L570" s="1">
        <f t="shared" si="8"/>
        <v>-325942.09999999998</v>
      </c>
      <c r="N570" s="6" t="str">
        <f>IF(ISERROR(VLOOKUP($A570,'Plano de Contas'!#REF!,8,FALSE)),"",VLOOKUP($A570,'Plano de Contas'!#REF!,8,FALSE))</f>
        <v/>
      </c>
      <c r="P570" s="6" t="str">
        <f>IF(ISERROR(VLOOKUP($A570,'Plano de Contas'!#REF!,10,FALSE)),"",VLOOKUP($A570,'Plano de Contas'!#REF!,10,FALSE))</f>
        <v/>
      </c>
      <c r="R570" s="6" t="e">
        <f>VLOOKUP(A570,'Plano de Contas'!#REF!,12,FALSE)</f>
        <v>#REF!</v>
      </c>
      <c r="T570" s="6" t="e">
        <f>VLOOKUP(A570,'Plano de Contas'!#REF!,13,FALSE)</f>
        <v>#REF!</v>
      </c>
    </row>
    <row r="571" spans="1:20" s="5" customFormat="1" x14ac:dyDescent="0.25">
      <c r="A571"/>
      <c r="B571"/>
      <c r="C571"/>
      <c r="D571" s="10"/>
      <c r="E571"/>
      <c r="F571"/>
      <c r="G571"/>
      <c r="H571" s="10"/>
      <c r="I571"/>
      <c r="J571" s="10"/>
      <c r="K571"/>
      <c r="L571" s="1">
        <f t="shared" si="8"/>
        <v>0</v>
      </c>
      <c r="N571" s="6" t="str">
        <f>IF(ISERROR(VLOOKUP($A571,'Plano de Contas'!#REF!,8,FALSE)),"",VLOOKUP($A571,'Plano de Contas'!#REF!,8,FALSE))</f>
        <v/>
      </c>
      <c r="P571" s="6" t="str">
        <f>IF(ISERROR(VLOOKUP($A571,'Plano de Contas'!#REF!,10,FALSE)),"",VLOOKUP($A571,'Plano de Contas'!#REF!,10,FALSE))</f>
        <v/>
      </c>
      <c r="R571" s="6" t="e">
        <f>VLOOKUP(A571,'Plano de Contas'!#REF!,12,FALSE)</f>
        <v>#REF!</v>
      </c>
      <c r="T571" s="6" t="e">
        <f>VLOOKUP(A571,'Plano de Contas'!#REF!,13,FALSE)</f>
        <v>#REF!</v>
      </c>
    </row>
    <row r="572" spans="1:20" s="5" customFormat="1" x14ac:dyDescent="0.25">
      <c r="A572" t="s">
        <v>973</v>
      </c>
      <c r="B572">
        <v>312</v>
      </c>
      <c r="C572" t="s">
        <v>967</v>
      </c>
      <c r="D572" s="10">
        <v>325942.09999999998</v>
      </c>
      <c r="E572" t="s">
        <v>35</v>
      </c>
      <c r="F572">
        <v>0</v>
      </c>
      <c r="G572"/>
      <c r="H572">
        <v>0</v>
      </c>
      <c r="I572"/>
      <c r="J572" s="10">
        <v>325942.09999999998</v>
      </c>
      <c r="K572" t="s">
        <v>35</v>
      </c>
      <c r="L572" s="1">
        <f t="shared" si="8"/>
        <v>-325942.09999999998</v>
      </c>
      <c r="N572" s="6" t="str">
        <f>IF(ISERROR(VLOOKUP($A572,'Plano de Contas'!#REF!,8,FALSE)),"",VLOOKUP($A572,'Plano de Contas'!#REF!,8,FALSE))</f>
        <v/>
      </c>
      <c r="P572" s="6" t="str">
        <f>IF(ISERROR(VLOOKUP($A572,'Plano de Contas'!#REF!,10,FALSE)),"",VLOOKUP($A572,'Plano de Contas'!#REF!,10,FALSE))</f>
        <v/>
      </c>
      <c r="R572" s="6" t="e">
        <f>VLOOKUP(A572,'Plano de Contas'!#REF!,12,FALSE)</f>
        <v>#REF!</v>
      </c>
      <c r="T572" s="6" t="e">
        <f>VLOOKUP(A572,'Plano de Contas'!#REF!,13,FALSE)</f>
        <v>#REF!</v>
      </c>
    </row>
    <row r="573" spans="1:20" s="5" customFormat="1" x14ac:dyDescent="0.25">
      <c r="A573"/>
      <c r="B573"/>
      <c r="C573"/>
      <c r="D573" s="10"/>
      <c r="E573"/>
      <c r="F573" s="10"/>
      <c r="G573"/>
      <c r="H573" s="10"/>
      <c r="I573"/>
      <c r="J573" s="10"/>
      <c r="K573"/>
      <c r="L573" s="1">
        <f t="shared" si="8"/>
        <v>0</v>
      </c>
      <c r="N573" s="6" t="str">
        <f>IF(ISERROR(VLOOKUP($A573,'Plano de Contas'!#REF!,8,FALSE)),"",VLOOKUP($A573,'Plano de Contas'!#REF!,8,FALSE))</f>
        <v/>
      </c>
      <c r="P573" s="6" t="str">
        <f>IF(ISERROR(VLOOKUP($A573,'Plano de Contas'!#REF!,10,FALSE)),"",VLOOKUP($A573,'Plano de Contas'!#REF!,10,FALSE))</f>
        <v/>
      </c>
      <c r="R573" s="6" t="e">
        <f>VLOOKUP(A573,'Plano de Contas'!#REF!,12,FALSE)</f>
        <v>#REF!</v>
      </c>
      <c r="T573" s="6" t="e">
        <f>VLOOKUP(A573,'Plano de Contas'!#REF!,13,FALSE)</f>
        <v>#REF!</v>
      </c>
    </row>
    <row r="574" spans="1:20" s="5" customFormat="1" x14ac:dyDescent="0.25">
      <c r="A574" t="s">
        <v>974</v>
      </c>
      <c r="B574">
        <v>313</v>
      </c>
      <c r="C574" t="s">
        <v>969</v>
      </c>
      <c r="D574" s="10">
        <v>325942.09999999998</v>
      </c>
      <c r="E574" t="s">
        <v>35</v>
      </c>
      <c r="F574" s="10">
        <v>0</v>
      </c>
      <c r="G574"/>
      <c r="H574">
        <v>0</v>
      </c>
      <c r="I574"/>
      <c r="J574" s="10">
        <v>325942.09999999998</v>
      </c>
      <c r="K574" t="s">
        <v>35</v>
      </c>
      <c r="L574" s="1">
        <f t="shared" si="8"/>
        <v>-325942.09999999998</v>
      </c>
      <c r="N574" s="6" t="str">
        <f>IF(ISERROR(VLOOKUP($A574,'Plano de Contas'!#REF!,8,FALSE)),"",VLOOKUP($A574,'Plano de Contas'!#REF!,8,FALSE))</f>
        <v/>
      </c>
      <c r="P574" s="6" t="str">
        <f>IF(ISERROR(VLOOKUP($A574,'Plano de Contas'!#REF!,10,FALSE)),"",VLOOKUP($A574,'Plano de Contas'!#REF!,10,FALSE))</f>
        <v/>
      </c>
      <c r="R574" s="6" t="e">
        <f>VLOOKUP(A574,'Plano de Contas'!#REF!,12,FALSE)</f>
        <v>#REF!</v>
      </c>
      <c r="T574" s="6" t="e">
        <f>VLOOKUP(A574,'Plano de Contas'!#REF!,13,FALSE)</f>
        <v>#REF!</v>
      </c>
    </row>
    <row r="575" spans="1:20" s="5" customFormat="1" x14ac:dyDescent="0.25">
      <c r="A575" t="s">
        <v>975</v>
      </c>
      <c r="B575">
        <v>331</v>
      </c>
      <c r="C575" t="s">
        <v>750</v>
      </c>
      <c r="D575" s="10">
        <v>325942.09999999998</v>
      </c>
      <c r="E575" t="s">
        <v>35</v>
      </c>
      <c r="F575" s="10">
        <v>0</v>
      </c>
      <c r="G575"/>
      <c r="H575" s="10">
        <v>0</v>
      </c>
      <c r="I575"/>
      <c r="J575" s="10">
        <v>325942.09999999998</v>
      </c>
      <c r="K575" t="s">
        <v>35</v>
      </c>
      <c r="L575" s="1">
        <f t="shared" si="8"/>
        <v>-325942.09999999998</v>
      </c>
      <c r="N575" s="6" t="str">
        <f>IF(ISERROR(VLOOKUP($A575,'Plano de Contas'!#REF!,8,FALSE)),"",VLOOKUP($A575,'Plano de Contas'!#REF!,8,FALSE))</f>
        <v/>
      </c>
      <c r="P575" s="6" t="str">
        <f>IF(ISERROR(VLOOKUP($A575,'Plano de Contas'!#REF!,10,FALSE)),"",VLOOKUP($A575,'Plano de Contas'!#REF!,10,FALSE))</f>
        <v/>
      </c>
      <c r="R575" s="6" t="e">
        <f>VLOOKUP(A575,'Plano de Contas'!#REF!,12,FALSE)</f>
        <v>#REF!</v>
      </c>
      <c r="T575" s="6" t="e">
        <f>VLOOKUP(A575,'Plano de Contas'!#REF!,13,FALSE)</f>
        <v>#REF!</v>
      </c>
    </row>
    <row r="576" spans="1:20" s="5" customFormat="1" x14ac:dyDescent="0.25">
      <c r="A576"/>
      <c r="B576"/>
      <c r="C576"/>
      <c r="D576"/>
      <c r="E576"/>
      <c r="F576" s="10"/>
      <c r="G576"/>
      <c r="H576"/>
      <c r="I576"/>
      <c r="J576"/>
      <c r="K576"/>
      <c r="L576" s="1">
        <f t="shared" si="8"/>
        <v>0</v>
      </c>
      <c r="N576" s="6" t="str">
        <f>IF(ISERROR(VLOOKUP($A576,'Plano de Contas'!#REF!,8,FALSE)),"",VLOOKUP($A576,'Plano de Contas'!#REF!,8,FALSE))</f>
        <v/>
      </c>
      <c r="P576" s="6" t="str">
        <f>IF(ISERROR(VLOOKUP($A576,'Plano de Contas'!#REF!,10,FALSE)),"",VLOOKUP($A576,'Plano de Contas'!#REF!,10,FALSE))</f>
        <v/>
      </c>
      <c r="R576" s="6" t="e">
        <f>VLOOKUP(A576,'Plano de Contas'!#REF!,12,FALSE)</f>
        <v>#REF!</v>
      </c>
      <c r="T576" s="6" t="e">
        <f>VLOOKUP(A576,'Plano de Contas'!#REF!,13,FALSE)</f>
        <v>#REF!</v>
      </c>
    </row>
    <row r="577" spans="1:20" s="5" customFormat="1" x14ac:dyDescent="0.25">
      <c r="A577"/>
      <c r="B577"/>
      <c r="C577" t="s">
        <v>976</v>
      </c>
      <c r="D577" s="10" t="s">
        <v>1252</v>
      </c>
      <c r="E577">
        <v>2</v>
      </c>
      <c r="F577" s="10">
        <v>9874777.5600000005</v>
      </c>
      <c r="G577"/>
      <c r="H577" s="10"/>
      <c r="I577"/>
      <c r="J577" s="10"/>
      <c r="K577"/>
      <c r="L577" s="1">
        <f t="shared" si="8"/>
        <v>0</v>
      </c>
      <c r="N577" s="6" t="str">
        <f>IF(ISERROR(VLOOKUP($A577,'Plano de Contas'!#REF!,8,FALSE)),"",VLOOKUP($A577,'Plano de Contas'!#REF!,8,FALSE))</f>
        <v/>
      </c>
      <c r="P577" s="6" t="str">
        <f>IF(ISERROR(VLOOKUP($A577,'Plano de Contas'!#REF!,10,FALSE)),"",VLOOKUP($A577,'Plano de Contas'!#REF!,10,FALSE))</f>
        <v/>
      </c>
      <c r="R577" s="6" t="e">
        <f>VLOOKUP(A577,'Plano de Contas'!#REF!,12,FALSE)</f>
        <v>#REF!</v>
      </c>
      <c r="T577" s="6" t="e">
        <f>VLOOKUP(A577,'Plano de Contas'!#REF!,13,FALSE)</f>
        <v>#REF!</v>
      </c>
    </row>
    <row r="578" spans="1:20" s="5" customFormat="1" x14ac:dyDescent="0.25">
      <c r="A578"/>
      <c r="B578"/>
      <c r="C578" t="s">
        <v>978</v>
      </c>
      <c r="D578" s="10" t="s">
        <v>1252</v>
      </c>
      <c r="E578">
        <v>2</v>
      </c>
      <c r="F578" s="10">
        <v>-9874777.5600000005</v>
      </c>
      <c r="G578"/>
      <c r="H578" s="10"/>
      <c r="I578"/>
      <c r="J578" s="10"/>
      <c r="K578"/>
      <c r="L578" s="1">
        <f t="shared" si="8"/>
        <v>0</v>
      </c>
      <c r="N578" s="6" t="str">
        <f>IF(ISERROR(VLOOKUP($A578,'Plano de Contas'!#REF!,8,FALSE)),"",VLOOKUP($A578,'Plano de Contas'!#REF!,8,FALSE))</f>
        <v/>
      </c>
      <c r="P578" s="6" t="str">
        <f>IF(ISERROR(VLOOKUP($A578,'Plano de Contas'!#REF!,10,FALSE)),"",VLOOKUP($A578,'Plano de Contas'!#REF!,10,FALSE))</f>
        <v/>
      </c>
      <c r="R578" s="6" t="e">
        <f>VLOOKUP(A578,'Plano de Contas'!#REF!,12,FALSE)</f>
        <v>#REF!</v>
      </c>
      <c r="T578" s="6" t="e">
        <f>VLOOKUP(A578,'Plano de Contas'!#REF!,13,FALSE)</f>
        <v>#REF!</v>
      </c>
    </row>
    <row r="579" spans="1:20" s="5" customFormat="1" x14ac:dyDescent="0.25">
      <c r="A579"/>
      <c r="B579"/>
      <c r="C579"/>
      <c r="D579" s="10"/>
      <c r="E579"/>
      <c r="F579"/>
      <c r="G579"/>
      <c r="H579"/>
      <c r="I579"/>
      <c r="J579" s="10"/>
      <c r="K579"/>
      <c r="L579" s="1">
        <f t="shared" si="8"/>
        <v>0</v>
      </c>
      <c r="N579" s="6" t="str">
        <f>IF(ISERROR(VLOOKUP($A579,'Plano de Contas'!#REF!,8,FALSE)),"",VLOOKUP($A579,'Plano de Contas'!#REF!,8,FALSE))</f>
        <v/>
      </c>
      <c r="P579" s="6" t="str">
        <f>IF(ISERROR(VLOOKUP($A579,'Plano de Contas'!#REF!,10,FALSE)),"",VLOOKUP($A579,'Plano de Contas'!#REF!,10,FALSE))</f>
        <v/>
      </c>
      <c r="R579" s="6" t="e">
        <f>VLOOKUP(A579,'Plano de Contas'!#REF!,12,FALSE)</f>
        <v>#REF!</v>
      </c>
      <c r="T579" s="6" t="e">
        <f>VLOOKUP(A579,'Plano de Contas'!#REF!,13,FALSE)</f>
        <v>#REF!</v>
      </c>
    </row>
    <row r="580" spans="1:20" s="5" customFormat="1" x14ac:dyDescent="0.25">
      <c r="A580"/>
      <c r="B580"/>
      <c r="C580"/>
      <c r="D580" s="10"/>
      <c r="E580"/>
      <c r="F580"/>
      <c r="G580"/>
      <c r="H580" s="10"/>
      <c r="I580"/>
      <c r="J580" s="10"/>
      <c r="K580"/>
      <c r="L580" s="1">
        <f t="shared" si="8"/>
        <v>0</v>
      </c>
      <c r="N580" s="6" t="str">
        <f>IF(ISERROR(VLOOKUP($A580,'Plano de Contas'!#REF!,8,FALSE)),"",VLOOKUP($A580,'Plano de Contas'!#REF!,8,FALSE))</f>
        <v/>
      </c>
      <c r="P580" s="6" t="str">
        <f>IF(ISERROR(VLOOKUP($A580,'Plano de Contas'!#REF!,10,FALSE)),"",VLOOKUP($A580,'Plano de Contas'!#REF!,10,FALSE))</f>
        <v/>
      </c>
      <c r="R580" s="6" t="e">
        <f>VLOOKUP(A580,'Plano de Contas'!#REF!,12,FALSE)</f>
        <v>#REF!</v>
      </c>
      <c r="T580" s="6" t="e">
        <f>VLOOKUP(A580,'Plano de Contas'!#REF!,13,FALSE)</f>
        <v>#REF!</v>
      </c>
    </row>
    <row r="581" spans="1:20" s="5" customFormat="1" x14ac:dyDescent="0.25">
      <c r="A581"/>
      <c r="B581"/>
      <c r="C581"/>
      <c r="D581" s="10"/>
      <c r="E581"/>
      <c r="F581"/>
      <c r="G581"/>
      <c r="H581" s="10"/>
      <c r="I581"/>
      <c r="J581" s="10"/>
      <c r="K581"/>
      <c r="L581" s="1">
        <f t="shared" si="8"/>
        <v>0</v>
      </c>
      <c r="N581" s="6" t="str">
        <f>IF(ISERROR(VLOOKUP($A581,'Plano de Contas'!#REF!,8,FALSE)),"",VLOOKUP($A581,'Plano de Contas'!#REF!,8,FALSE))</f>
        <v/>
      </c>
      <c r="P581" s="6" t="str">
        <f>IF(ISERROR(VLOOKUP($A581,'Plano de Contas'!#REF!,10,FALSE)),"",VLOOKUP($A581,'Plano de Contas'!#REF!,10,FALSE))</f>
        <v/>
      </c>
      <c r="R581" s="6" t="e">
        <f>VLOOKUP(A581,'Plano de Contas'!#REF!,12,FALSE)</f>
        <v>#REF!</v>
      </c>
      <c r="T581" s="6" t="e">
        <f>VLOOKUP(A581,'Plano de Contas'!#REF!,13,FALSE)</f>
        <v>#REF!</v>
      </c>
    </row>
    <row r="582" spans="1:20" s="5" customFormat="1" x14ac:dyDescent="0.25">
      <c r="A582"/>
      <c r="B582"/>
      <c r="C582"/>
      <c r="D582"/>
      <c r="E582"/>
      <c r="F582"/>
      <c r="G582"/>
      <c r="H582"/>
      <c r="I582"/>
      <c r="J582"/>
      <c r="K582"/>
      <c r="L582" s="1">
        <f t="shared" si="8"/>
        <v>0</v>
      </c>
      <c r="N582" s="6" t="str">
        <f>IF(ISERROR(VLOOKUP($A582,'Plano de Contas'!#REF!,8,FALSE)),"",VLOOKUP($A582,'Plano de Contas'!#REF!,8,FALSE))</f>
        <v/>
      </c>
      <c r="P582" s="6" t="str">
        <f>IF(ISERROR(VLOOKUP($A582,'Plano de Contas'!#REF!,10,FALSE)),"",VLOOKUP($A582,'Plano de Contas'!#REF!,10,FALSE))</f>
        <v/>
      </c>
      <c r="R582" s="6" t="e">
        <f>VLOOKUP(A582,'Plano de Contas'!#REF!,12,FALSE)</f>
        <v>#REF!</v>
      </c>
      <c r="T582" s="6" t="e">
        <f>VLOOKUP(A582,'Plano de Contas'!#REF!,13,FALSE)</f>
        <v>#REF!</v>
      </c>
    </row>
    <row r="583" spans="1:20" s="5" customFormat="1" x14ac:dyDescent="0.25">
      <c r="A583"/>
      <c r="B583"/>
      <c r="C583"/>
      <c r="D583" s="10"/>
      <c r="E583"/>
      <c r="F583" s="10"/>
      <c r="G583"/>
      <c r="H583"/>
      <c r="I583"/>
      <c r="J583" s="10"/>
      <c r="K583"/>
      <c r="L583" s="1">
        <f t="shared" si="8"/>
        <v>0</v>
      </c>
      <c r="N583" s="6" t="str">
        <f>IF(ISERROR(VLOOKUP($A583,'Plano de Contas'!#REF!,8,FALSE)),"",VLOOKUP($A583,'Plano de Contas'!#REF!,8,FALSE))</f>
        <v/>
      </c>
      <c r="P583" s="6" t="str">
        <f>IF(ISERROR(VLOOKUP($A583,'Plano de Contas'!#REF!,10,FALSE)),"",VLOOKUP($A583,'Plano de Contas'!#REF!,10,FALSE))</f>
        <v/>
      </c>
      <c r="R583" s="6" t="e">
        <f>VLOOKUP(A583,'Plano de Contas'!#REF!,12,FALSE)</f>
        <v>#REF!</v>
      </c>
      <c r="T583" s="6" t="e">
        <f>VLOOKUP(A583,'Plano de Contas'!#REF!,13,FALSE)</f>
        <v>#REF!</v>
      </c>
    </row>
    <row r="584" spans="1:20" s="5" customFormat="1" x14ac:dyDescent="0.25">
      <c r="A584"/>
      <c r="B584"/>
      <c r="C584"/>
      <c r="D584"/>
      <c r="E584"/>
      <c r="F584"/>
      <c r="G584"/>
      <c r="H584"/>
      <c r="I584"/>
      <c r="J584"/>
      <c r="K584"/>
      <c r="L584" s="1">
        <f t="shared" ref="L584:L650" si="9">IF(K584="-",-J584,J584)</f>
        <v>0</v>
      </c>
      <c r="N584" s="6" t="str">
        <f>IF(ISERROR(VLOOKUP($A584,'Plano de Contas'!#REF!,8,FALSE)),"",VLOOKUP($A584,'Plano de Contas'!#REF!,8,FALSE))</f>
        <v/>
      </c>
      <c r="P584" s="6" t="str">
        <f>IF(ISERROR(VLOOKUP($A584,'Plano de Contas'!#REF!,10,FALSE)),"",VLOOKUP($A584,'Plano de Contas'!#REF!,10,FALSE))</f>
        <v/>
      </c>
      <c r="R584" s="6" t="e">
        <f>VLOOKUP(A584,'Plano de Contas'!#REF!,12,FALSE)</f>
        <v>#REF!</v>
      </c>
      <c r="T584" s="6" t="e">
        <f>VLOOKUP(A584,'Plano de Contas'!#REF!,13,FALSE)</f>
        <v>#REF!</v>
      </c>
    </row>
    <row r="585" spans="1:20" s="5" customFormat="1" x14ac:dyDescent="0.25">
      <c r="A585"/>
      <c r="B585"/>
      <c r="C585"/>
      <c r="D585" s="10"/>
      <c r="E585"/>
      <c r="F585" s="10"/>
      <c r="G585"/>
      <c r="H585"/>
      <c r="I585"/>
      <c r="J585" s="10"/>
      <c r="K585"/>
      <c r="L585" s="1">
        <f t="shared" si="9"/>
        <v>0</v>
      </c>
      <c r="N585" s="6" t="str">
        <f>IF(ISERROR(VLOOKUP($A585,'Plano de Contas'!#REF!,8,FALSE)),"",VLOOKUP($A585,'Plano de Contas'!#REF!,8,FALSE))</f>
        <v/>
      </c>
      <c r="P585" s="6" t="str">
        <f>IF(ISERROR(VLOOKUP($A585,'Plano de Contas'!#REF!,10,FALSE)),"",VLOOKUP($A585,'Plano de Contas'!#REF!,10,FALSE))</f>
        <v/>
      </c>
      <c r="R585" s="6" t="e">
        <f>VLOOKUP(A585,'Plano de Contas'!#REF!,12,FALSE)</f>
        <v>#REF!</v>
      </c>
      <c r="T585" s="6" t="e">
        <f>VLOOKUP(A585,'Plano de Contas'!#REF!,13,FALSE)</f>
        <v>#REF!</v>
      </c>
    </row>
    <row r="586" spans="1:20" s="5" customFormat="1" x14ac:dyDescent="0.25">
      <c r="A586"/>
      <c r="B586"/>
      <c r="C586"/>
      <c r="D586" s="10"/>
      <c r="E586"/>
      <c r="F586" s="10"/>
      <c r="G586"/>
      <c r="H586"/>
      <c r="I586"/>
      <c r="J586" s="10"/>
      <c r="K586"/>
      <c r="L586" s="1">
        <f t="shared" si="9"/>
        <v>0</v>
      </c>
      <c r="N586" s="6" t="str">
        <f>IF(ISERROR(VLOOKUP($A586,'Plano de Contas'!#REF!,8,FALSE)),"",VLOOKUP($A586,'Plano de Contas'!#REF!,8,FALSE))</f>
        <v/>
      </c>
      <c r="P586" s="6" t="str">
        <f>IF(ISERROR(VLOOKUP($A586,'Plano de Contas'!#REF!,10,FALSE)),"",VLOOKUP($A586,'Plano de Contas'!#REF!,10,FALSE))</f>
        <v/>
      </c>
      <c r="R586" s="6" t="e">
        <f>VLOOKUP(A586,'Plano de Contas'!#REF!,12,FALSE)</f>
        <v>#REF!</v>
      </c>
      <c r="T586" s="6" t="e">
        <f>VLOOKUP(A586,'Plano de Contas'!#REF!,13,FALSE)</f>
        <v>#REF!</v>
      </c>
    </row>
    <row r="587" spans="1:20" s="5" customFormat="1" x14ac:dyDescent="0.25">
      <c r="A587"/>
      <c r="B587"/>
      <c r="C587"/>
      <c r="D587" s="10"/>
      <c r="E587"/>
      <c r="F587" s="10"/>
      <c r="G587"/>
      <c r="H587"/>
      <c r="I587"/>
      <c r="J587" s="10"/>
      <c r="K587"/>
      <c r="L587" s="1">
        <f t="shared" si="9"/>
        <v>0</v>
      </c>
      <c r="N587" s="6" t="str">
        <f>IF(ISERROR(VLOOKUP($A587,'Plano de Contas'!#REF!,8,FALSE)),"",VLOOKUP($A587,'Plano de Contas'!#REF!,8,FALSE))</f>
        <v/>
      </c>
      <c r="P587" s="6" t="str">
        <f>IF(ISERROR(VLOOKUP($A587,'Plano de Contas'!#REF!,10,FALSE)),"",VLOOKUP($A587,'Plano de Contas'!#REF!,10,FALSE))</f>
        <v/>
      </c>
      <c r="R587" s="6" t="e">
        <f>VLOOKUP(A587,'Plano de Contas'!#REF!,12,FALSE)</f>
        <v>#REF!</v>
      </c>
      <c r="T587" s="6" t="e">
        <f>VLOOKUP(A587,'Plano de Contas'!#REF!,13,FALSE)</f>
        <v>#REF!</v>
      </c>
    </row>
    <row r="588" spans="1:20" s="5" customFormat="1" x14ac:dyDescent="0.25">
      <c r="A588"/>
      <c r="B588"/>
      <c r="C588"/>
      <c r="D588" s="10"/>
      <c r="E588"/>
      <c r="F588" s="10"/>
      <c r="G588"/>
      <c r="H588"/>
      <c r="I588"/>
      <c r="J588" s="10"/>
      <c r="K588"/>
      <c r="L588" s="1">
        <f t="shared" si="9"/>
        <v>0</v>
      </c>
      <c r="N588" s="6" t="str">
        <f>IF(ISERROR(VLOOKUP($A588,'Plano de Contas'!#REF!,8,FALSE)),"",VLOOKUP($A588,'Plano de Contas'!#REF!,8,FALSE))</f>
        <v/>
      </c>
      <c r="P588" s="6" t="str">
        <f>IF(ISERROR(VLOOKUP($A588,'Plano de Contas'!#REF!,10,FALSE)),"",VLOOKUP($A588,'Plano de Contas'!#REF!,10,FALSE))</f>
        <v/>
      </c>
      <c r="R588" s="6" t="e">
        <f>VLOOKUP(A588,'Plano de Contas'!#REF!,12,FALSE)</f>
        <v>#REF!</v>
      </c>
      <c r="T588" s="6" t="e">
        <f>VLOOKUP(A588,'Plano de Contas'!#REF!,13,FALSE)</f>
        <v>#REF!</v>
      </c>
    </row>
    <row r="589" spans="1:20" s="5" customFormat="1" x14ac:dyDescent="0.25">
      <c r="A589"/>
      <c r="B589"/>
      <c r="C589"/>
      <c r="D589"/>
      <c r="E589"/>
      <c r="F589"/>
      <c r="G589"/>
      <c r="H589"/>
      <c r="I589"/>
      <c r="J589"/>
      <c r="K589"/>
      <c r="L589" s="1">
        <f t="shared" si="9"/>
        <v>0</v>
      </c>
      <c r="N589" s="6" t="str">
        <f>IF(ISERROR(VLOOKUP($A589,'Plano de Contas'!#REF!,8,FALSE)),"",VLOOKUP($A589,'Plano de Contas'!#REF!,8,FALSE))</f>
        <v/>
      </c>
      <c r="P589" s="6" t="str">
        <f>IF(ISERROR(VLOOKUP($A589,'Plano de Contas'!#REF!,10,FALSE)),"",VLOOKUP($A589,'Plano de Contas'!#REF!,10,FALSE))</f>
        <v/>
      </c>
      <c r="R589" s="6" t="e">
        <f>VLOOKUP(A589,'Plano de Contas'!#REF!,12,FALSE)</f>
        <v>#REF!</v>
      </c>
      <c r="T589" s="6" t="e">
        <f>VLOOKUP(A589,'Plano de Contas'!#REF!,13,FALSE)</f>
        <v>#REF!</v>
      </c>
    </row>
    <row r="590" spans="1:20" s="5" customFormat="1" x14ac:dyDescent="0.25">
      <c r="A590"/>
      <c r="B590"/>
      <c r="C590"/>
      <c r="D590" s="10"/>
      <c r="E590"/>
      <c r="F590"/>
      <c r="G590"/>
      <c r="H590"/>
      <c r="I590"/>
      <c r="J590" s="10"/>
      <c r="K590"/>
      <c r="L590" s="1">
        <f t="shared" si="9"/>
        <v>0</v>
      </c>
      <c r="N590" s="6" t="str">
        <f>IF(ISERROR(VLOOKUP($A590,'Plano de Contas'!#REF!,8,FALSE)),"",VLOOKUP($A590,'Plano de Contas'!#REF!,8,FALSE))</f>
        <v/>
      </c>
      <c r="P590" s="6" t="str">
        <f>IF(ISERROR(VLOOKUP($A590,'Plano de Contas'!#REF!,10,FALSE)),"",VLOOKUP($A590,'Plano de Contas'!#REF!,10,FALSE))</f>
        <v/>
      </c>
      <c r="R590" s="6" t="e">
        <f>VLOOKUP(A590,'Plano de Contas'!#REF!,12,FALSE)</f>
        <v>#REF!</v>
      </c>
      <c r="T590" s="6" t="e">
        <f>VLOOKUP(A590,'Plano de Contas'!#REF!,13,FALSE)</f>
        <v>#REF!</v>
      </c>
    </row>
    <row r="591" spans="1:20" s="5" customFormat="1" x14ac:dyDescent="0.25">
      <c r="A591"/>
      <c r="B591"/>
      <c r="C591"/>
      <c r="D591"/>
      <c r="E591"/>
      <c r="F591"/>
      <c r="G591"/>
      <c r="H591"/>
      <c r="I591"/>
      <c r="J591"/>
      <c r="K591"/>
      <c r="L591" s="1">
        <f t="shared" si="9"/>
        <v>0</v>
      </c>
      <c r="N591" s="6" t="str">
        <f>IF(ISERROR(VLOOKUP($A591,'Plano de Contas'!#REF!,8,FALSE)),"",VLOOKUP($A591,'Plano de Contas'!#REF!,8,FALSE))</f>
        <v/>
      </c>
      <c r="P591" s="6" t="str">
        <f>IF(ISERROR(VLOOKUP($A591,'Plano de Contas'!#REF!,10,FALSE)),"",VLOOKUP($A591,'Plano de Contas'!#REF!,10,FALSE))</f>
        <v/>
      </c>
      <c r="R591" s="6" t="e">
        <f>VLOOKUP(A591,'Plano de Contas'!#REF!,12,FALSE)</f>
        <v>#REF!</v>
      </c>
      <c r="T591" s="6" t="e">
        <f>VLOOKUP(A591,'Plano de Contas'!#REF!,13,FALSE)</f>
        <v>#REF!</v>
      </c>
    </row>
    <row r="592" spans="1:20" s="5" customFormat="1" x14ac:dyDescent="0.25">
      <c r="A592"/>
      <c r="B592"/>
      <c r="C592"/>
      <c r="D592" s="10"/>
      <c r="E592"/>
      <c r="F592"/>
      <c r="G592"/>
      <c r="H592"/>
      <c r="I592"/>
      <c r="J592" s="10"/>
      <c r="K592"/>
      <c r="L592" s="1">
        <f t="shared" si="9"/>
        <v>0</v>
      </c>
      <c r="N592" s="6" t="str">
        <f>IF(ISERROR(VLOOKUP($A592,'Plano de Contas'!#REF!,8,FALSE)),"",VLOOKUP($A592,'Plano de Contas'!#REF!,8,FALSE))</f>
        <v/>
      </c>
      <c r="P592" s="6" t="str">
        <f>IF(ISERROR(VLOOKUP($A592,'Plano de Contas'!#REF!,10,FALSE)),"",VLOOKUP($A592,'Plano de Contas'!#REF!,10,FALSE))</f>
        <v/>
      </c>
      <c r="R592" s="6" t="e">
        <f>VLOOKUP(A592,'Plano de Contas'!#REF!,12,FALSE)</f>
        <v>#REF!</v>
      </c>
      <c r="T592" s="6" t="e">
        <f>VLOOKUP(A592,'Plano de Contas'!#REF!,13,FALSE)</f>
        <v>#REF!</v>
      </c>
    </row>
    <row r="593" spans="1:20" s="5" customFormat="1" x14ac:dyDescent="0.25">
      <c r="A593"/>
      <c r="B593"/>
      <c r="C593"/>
      <c r="D593"/>
      <c r="E593"/>
      <c r="F593"/>
      <c r="G593"/>
      <c r="H593"/>
      <c r="I593"/>
      <c r="J593"/>
      <c r="K593"/>
      <c r="L593" s="1">
        <f t="shared" si="9"/>
        <v>0</v>
      </c>
      <c r="N593" s="6" t="str">
        <f>IF(ISERROR(VLOOKUP($A593,'Plano de Contas'!#REF!,8,FALSE)),"",VLOOKUP($A593,'Plano de Contas'!#REF!,8,FALSE))</f>
        <v/>
      </c>
      <c r="P593" s="6" t="str">
        <f>IF(ISERROR(VLOOKUP($A593,'Plano de Contas'!#REF!,10,FALSE)),"",VLOOKUP($A593,'Plano de Contas'!#REF!,10,FALSE))</f>
        <v/>
      </c>
      <c r="R593" s="6" t="e">
        <f>VLOOKUP(A593,'Plano de Contas'!#REF!,12,FALSE)</f>
        <v>#REF!</v>
      </c>
      <c r="T593" s="6" t="e">
        <f>VLOOKUP(A593,'Plano de Contas'!#REF!,13,FALSE)</f>
        <v>#REF!</v>
      </c>
    </row>
    <row r="594" spans="1:20" s="5" customFormat="1" x14ac:dyDescent="0.25">
      <c r="A594"/>
      <c r="B594"/>
      <c r="C594"/>
      <c r="D594" s="10"/>
      <c r="E594"/>
      <c r="F594"/>
      <c r="G594"/>
      <c r="H594"/>
      <c r="I594"/>
      <c r="J594" s="10"/>
      <c r="K594"/>
      <c r="L594" s="1">
        <f t="shared" si="9"/>
        <v>0</v>
      </c>
      <c r="N594" s="6" t="str">
        <f>IF(ISERROR(VLOOKUP($A594,'Plano de Contas'!#REF!,8,FALSE)),"",VLOOKUP($A594,'Plano de Contas'!#REF!,8,FALSE))</f>
        <v/>
      </c>
      <c r="P594" s="6" t="str">
        <f>IF(ISERROR(VLOOKUP($A594,'Plano de Contas'!#REF!,10,FALSE)),"",VLOOKUP($A594,'Plano de Contas'!#REF!,10,FALSE))</f>
        <v/>
      </c>
      <c r="R594" s="6" t="e">
        <f>VLOOKUP(A594,'Plano de Contas'!#REF!,12,FALSE)</f>
        <v>#REF!</v>
      </c>
      <c r="T594" s="6" t="e">
        <f>VLOOKUP(A594,'Plano de Contas'!#REF!,13,FALSE)</f>
        <v>#REF!</v>
      </c>
    </row>
    <row r="595" spans="1:20" s="5" customFormat="1" x14ac:dyDescent="0.25">
      <c r="A595"/>
      <c r="B595"/>
      <c r="C595"/>
      <c r="D595"/>
      <c r="E595"/>
      <c r="F595"/>
      <c r="G595"/>
      <c r="H595"/>
      <c r="I595"/>
      <c r="J595"/>
      <c r="K595"/>
      <c r="L595" s="1">
        <f t="shared" si="9"/>
        <v>0</v>
      </c>
      <c r="N595" s="6" t="str">
        <f>IF(ISERROR(VLOOKUP($A595,'Plano de Contas'!#REF!,8,FALSE)),"",VLOOKUP($A595,'Plano de Contas'!#REF!,8,FALSE))</f>
        <v/>
      </c>
      <c r="P595" s="6" t="str">
        <f>IF(ISERROR(VLOOKUP($A595,'Plano de Contas'!#REF!,10,FALSE)),"",VLOOKUP($A595,'Plano de Contas'!#REF!,10,FALSE))</f>
        <v/>
      </c>
      <c r="R595" s="6" t="e">
        <f>VLOOKUP(A595,'Plano de Contas'!#REF!,12,FALSE)</f>
        <v>#REF!</v>
      </c>
      <c r="T595" s="6" t="e">
        <f>VLOOKUP(A595,'Plano de Contas'!#REF!,13,FALSE)</f>
        <v>#REF!</v>
      </c>
    </row>
    <row r="596" spans="1:20" s="5" customFormat="1" x14ac:dyDescent="0.25">
      <c r="A596"/>
      <c r="B596"/>
      <c r="C596"/>
      <c r="D596" s="10"/>
      <c r="E596"/>
      <c r="F596"/>
      <c r="G596"/>
      <c r="H596"/>
      <c r="I596"/>
      <c r="J596" s="10"/>
      <c r="K596"/>
      <c r="L596" s="1">
        <f t="shared" si="9"/>
        <v>0</v>
      </c>
      <c r="N596" s="6" t="str">
        <f>IF(ISERROR(VLOOKUP($A596,'Plano de Contas'!#REF!,8,FALSE)),"",VLOOKUP($A596,'Plano de Contas'!#REF!,8,FALSE))</f>
        <v/>
      </c>
      <c r="P596" s="6" t="str">
        <f>IF(ISERROR(VLOOKUP($A596,'Plano de Contas'!#REF!,10,FALSE)),"",VLOOKUP($A596,'Plano de Contas'!#REF!,10,FALSE))</f>
        <v/>
      </c>
      <c r="R596" s="6" t="e">
        <f>VLOOKUP(A596,'Plano de Contas'!#REF!,12,FALSE)</f>
        <v>#REF!</v>
      </c>
      <c r="T596" s="6" t="e">
        <f>VLOOKUP(A596,'Plano de Contas'!#REF!,13,FALSE)</f>
        <v>#REF!</v>
      </c>
    </row>
    <row r="597" spans="1:20" s="5" customFormat="1" x14ac:dyDescent="0.25">
      <c r="A597"/>
      <c r="B597"/>
      <c r="C597"/>
      <c r="D597" s="10"/>
      <c r="E597"/>
      <c r="F597"/>
      <c r="G597"/>
      <c r="H597"/>
      <c r="I597"/>
      <c r="J597" s="10"/>
      <c r="K597"/>
      <c r="L597" s="1">
        <f t="shared" si="9"/>
        <v>0</v>
      </c>
      <c r="N597" s="6" t="str">
        <f>IF(ISERROR(VLOOKUP($A597,'Plano de Contas'!#REF!,8,FALSE)),"",VLOOKUP($A597,'Plano de Contas'!#REF!,8,FALSE))</f>
        <v/>
      </c>
      <c r="P597" s="6" t="str">
        <f>IF(ISERROR(VLOOKUP($A597,'Plano de Contas'!#REF!,10,FALSE)),"",VLOOKUP($A597,'Plano de Contas'!#REF!,10,FALSE))</f>
        <v/>
      </c>
      <c r="R597" s="6" t="e">
        <f>VLOOKUP(A597,'Plano de Contas'!#REF!,12,FALSE)</f>
        <v>#REF!</v>
      </c>
      <c r="T597" s="6" t="e">
        <f>VLOOKUP(A597,'Plano de Contas'!#REF!,13,FALSE)</f>
        <v>#REF!</v>
      </c>
    </row>
    <row r="598" spans="1:20" s="5" customFormat="1" x14ac:dyDescent="0.25">
      <c r="A598"/>
      <c r="B598"/>
      <c r="C598"/>
      <c r="D598"/>
      <c r="E598"/>
      <c r="F598"/>
      <c r="G598"/>
      <c r="H598"/>
      <c r="I598"/>
      <c r="J598"/>
      <c r="K598"/>
      <c r="L598" s="1">
        <f t="shared" si="9"/>
        <v>0</v>
      </c>
      <c r="N598" s="6" t="str">
        <f>IF(ISERROR(VLOOKUP($A598,'Plano de Contas'!#REF!,8,FALSE)),"",VLOOKUP($A598,'Plano de Contas'!#REF!,8,FALSE))</f>
        <v/>
      </c>
      <c r="P598" s="6" t="str">
        <f>IF(ISERROR(VLOOKUP($A598,'Plano de Contas'!#REF!,10,FALSE)),"",VLOOKUP($A598,'Plano de Contas'!#REF!,10,FALSE))</f>
        <v/>
      </c>
      <c r="R598" s="6" t="e">
        <f>VLOOKUP(A598,'Plano de Contas'!#REF!,12,FALSE)</f>
        <v>#REF!</v>
      </c>
      <c r="T598" s="6" t="e">
        <f>VLOOKUP(A598,'Plano de Contas'!#REF!,13,FALSE)</f>
        <v>#REF!</v>
      </c>
    </row>
    <row r="599" spans="1:20" s="5" customFormat="1" x14ac:dyDescent="0.25">
      <c r="A599"/>
      <c r="B599"/>
      <c r="C599"/>
      <c r="D599" s="10"/>
      <c r="E599"/>
      <c r="F599"/>
      <c r="G599"/>
      <c r="H599"/>
      <c r="I599"/>
      <c r="J599" s="10"/>
      <c r="K599"/>
      <c r="L599" s="1">
        <f t="shared" si="9"/>
        <v>0</v>
      </c>
      <c r="N599" s="6" t="str">
        <f>IF(ISERROR(VLOOKUP($A599,'Plano de Contas'!#REF!,8,FALSE)),"",VLOOKUP($A599,'Plano de Contas'!#REF!,8,FALSE))</f>
        <v/>
      </c>
      <c r="P599" s="6" t="str">
        <f>IF(ISERROR(VLOOKUP($A599,'Plano de Contas'!#REF!,10,FALSE)),"",VLOOKUP($A599,'Plano de Contas'!#REF!,10,FALSE))</f>
        <v/>
      </c>
      <c r="R599" s="6" t="e">
        <f>VLOOKUP(A599,'Plano de Contas'!#REF!,12,FALSE)</f>
        <v>#REF!</v>
      </c>
      <c r="T599" s="6" t="e">
        <f>VLOOKUP(A599,'Plano de Contas'!#REF!,13,FALSE)</f>
        <v>#REF!</v>
      </c>
    </row>
    <row r="600" spans="1:20" s="5" customFormat="1" x14ac:dyDescent="0.25">
      <c r="A600"/>
      <c r="B600"/>
      <c r="C600"/>
      <c r="D600"/>
      <c r="E600"/>
      <c r="F600"/>
      <c r="G600"/>
      <c r="H600"/>
      <c r="I600"/>
      <c r="J600"/>
      <c r="K600"/>
      <c r="L600" s="1">
        <f t="shared" si="9"/>
        <v>0</v>
      </c>
      <c r="N600" s="6" t="str">
        <f>IF(ISERROR(VLOOKUP($A600,'Plano de Contas'!#REF!,8,FALSE)),"",VLOOKUP($A600,'Plano de Contas'!#REF!,8,FALSE))</f>
        <v/>
      </c>
      <c r="P600" s="6" t="str">
        <f>IF(ISERROR(VLOOKUP($A600,'Plano de Contas'!#REF!,10,FALSE)),"",VLOOKUP($A600,'Plano de Contas'!#REF!,10,FALSE))</f>
        <v/>
      </c>
      <c r="R600" s="6" t="e">
        <f>VLOOKUP(A600,'Plano de Contas'!#REF!,12,FALSE)</f>
        <v>#REF!</v>
      </c>
      <c r="T600" s="6" t="e">
        <f>VLOOKUP(A600,'Plano de Contas'!#REF!,13,FALSE)</f>
        <v>#REF!</v>
      </c>
    </row>
    <row r="601" spans="1:20" s="5" customFormat="1" x14ac:dyDescent="0.25">
      <c r="A601"/>
      <c r="B601"/>
      <c r="C601"/>
      <c r="D601" s="10"/>
      <c r="E601"/>
      <c r="F601"/>
      <c r="G601"/>
      <c r="H601"/>
      <c r="I601"/>
      <c r="J601" s="10"/>
      <c r="K601"/>
      <c r="L601" s="1">
        <f t="shared" si="9"/>
        <v>0</v>
      </c>
      <c r="N601" s="6" t="str">
        <f>IF(ISERROR(VLOOKUP($A601,'Plano de Contas'!#REF!,8,FALSE)),"",VLOOKUP($A601,'Plano de Contas'!#REF!,8,FALSE))</f>
        <v/>
      </c>
      <c r="P601" s="6" t="str">
        <f>IF(ISERROR(VLOOKUP($A601,'Plano de Contas'!#REF!,10,FALSE)),"",VLOOKUP($A601,'Plano de Contas'!#REF!,10,FALSE))</f>
        <v/>
      </c>
      <c r="R601" s="6" t="e">
        <f>VLOOKUP(A601,'Plano de Contas'!#REF!,12,FALSE)</f>
        <v>#REF!</v>
      </c>
      <c r="T601" s="6" t="e">
        <f>VLOOKUP(A601,'Plano de Contas'!#REF!,13,FALSE)</f>
        <v>#REF!</v>
      </c>
    </row>
    <row r="602" spans="1:20" s="5" customFormat="1" x14ac:dyDescent="0.25">
      <c r="A602"/>
      <c r="B602"/>
      <c r="C602"/>
      <c r="D602"/>
      <c r="E602"/>
      <c r="F602"/>
      <c r="G602"/>
      <c r="H602"/>
      <c r="I602"/>
      <c r="J602"/>
      <c r="K602"/>
      <c r="L602" s="1">
        <f t="shared" si="9"/>
        <v>0</v>
      </c>
      <c r="N602" s="6" t="str">
        <f>IF(ISERROR(VLOOKUP($A602,'Plano de Contas'!#REF!,8,FALSE)),"",VLOOKUP($A602,'Plano de Contas'!#REF!,8,FALSE))</f>
        <v/>
      </c>
      <c r="P602" s="6" t="str">
        <f>IF(ISERROR(VLOOKUP($A602,'Plano de Contas'!#REF!,10,FALSE)),"",VLOOKUP($A602,'Plano de Contas'!#REF!,10,FALSE))</f>
        <v/>
      </c>
      <c r="R602" s="6" t="e">
        <f>VLOOKUP(A602,'Plano de Contas'!#REF!,12,FALSE)</f>
        <v>#REF!</v>
      </c>
      <c r="T602" s="6" t="e">
        <f>VLOOKUP(A602,'Plano de Contas'!#REF!,13,FALSE)</f>
        <v>#REF!</v>
      </c>
    </row>
    <row r="603" spans="1:20" s="5" customFormat="1" x14ac:dyDescent="0.25">
      <c r="A603"/>
      <c r="B603"/>
      <c r="C603"/>
      <c r="D603" s="10"/>
      <c r="E603"/>
      <c r="F603"/>
      <c r="G603"/>
      <c r="H603"/>
      <c r="I603"/>
      <c r="J603" s="10"/>
      <c r="K603"/>
      <c r="L603" s="1">
        <f t="shared" si="9"/>
        <v>0</v>
      </c>
      <c r="N603" s="6" t="str">
        <f>IF(ISERROR(VLOOKUP($A603,'Plano de Contas'!#REF!,8,FALSE)),"",VLOOKUP($A603,'Plano de Contas'!#REF!,8,FALSE))</f>
        <v/>
      </c>
      <c r="P603" s="6" t="str">
        <f>IF(ISERROR(VLOOKUP($A603,'Plano de Contas'!#REF!,10,FALSE)),"",VLOOKUP($A603,'Plano de Contas'!#REF!,10,FALSE))</f>
        <v/>
      </c>
      <c r="R603" s="6" t="e">
        <f>VLOOKUP(A603,'Plano de Contas'!#REF!,12,FALSE)</f>
        <v>#REF!</v>
      </c>
      <c r="T603" s="6" t="e">
        <f>VLOOKUP(A603,'Plano de Contas'!#REF!,13,FALSE)</f>
        <v>#REF!</v>
      </c>
    </row>
    <row r="604" spans="1:20" s="5" customFormat="1" x14ac:dyDescent="0.25">
      <c r="A604"/>
      <c r="B604"/>
      <c r="C604"/>
      <c r="D604"/>
      <c r="E604"/>
      <c r="F604"/>
      <c r="G604"/>
      <c r="H604"/>
      <c r="I604"/>
      <c r="J604"/>
      <c r="K604"/>
      <c r="L604" s="1">
        <f t="shared" si="9"/>
        <v>0</v>
      </c>
      <c r="N604" s="6" t="str">
        <f>IF(ISERROR(VLOOKUP($A604,'Plano de Contas'!#REF!,8,FALSE)),"",VLOOKUP($A604,'Plano de Contas'!#REF!,8,FALSE))</f>
        <v/>
      </c>
      <c r="P604" s="6" t="str">
        <f>IF(ISERROR(VLOOKUP($A604,'Plano de Contas'!#REF!,10,FALSE)),"",VLOOKUP($A604,'Plano de Contas'!#REF!,10,FALSE))</f>
        <v/>
      </c>
      <c r="R604" s="6" t="e">
        <f>VLOOKUP(A604,'Plano de Contas'!#REF!,12,FALSE)</f>
        <v>#REF!</v>
      </c>
      <c r="T604" s="6" t="e">
        <f>VLOOKUP(A604,'Plano de Contas'!#REF!,13,FALSE)</f>
        <v>#REF!</v>
      </c>
    </row>
    <row r="605" spans="1:20" s="5" customFormat="1" x14ac:dyDescent="0.25">
      <c r="A605"/>
      <c r="B605"/>
      <c r="C605"/>
      <c r="D605" s="10"/>
      <c r="E605"/>
      <c r="F605"/>
      <c r="G605"/>
      <c r="H605"/>
      <c r="I605"/>
      <c r="J605" s="10"/>
      <c r="K605"/>
      <c r="L605" s="1">
        <f t="shared" si="9"/>
        <v>0</v>
      </c>
      <c r="N605" s="6" t="str">
        <f>IF(ISERROR(VLOOKUP($A605,'Plano de Contas'!#REF!,8,FALSE)),"",VLOOKUP($A605,'Plano de Contas'!#REF!,8,FALSE))</f>
        <v/>
      </c>
      <c r="P605" s="6" t="str">
        <f>IF(ISERROR(VLOOKUP($A605,'Plano de Contas'!#REF!,10,FALSE)),"",VLOOKUP($A605,'Plano de Contas'!#REF!,10,FALSE))</f>
        <v/>
      </c>
      <c r="R605" s="6" t="e">
        <f>VLOOKUP(A605,'Plano de Contas'!#REF!,12,FALSE)</f>
        <v>#REF!</v>
      </c>
      <c r="T605" s="6" t="e">
        <f>VLOOKUP(A605,'Plano de Contas'!#REF!,13,FALSE)</f>
        <v>#REF!</v>
      </c>
    </row>
    <row r="606" spans="1:20" s="5" customFormat="1" x14ac:dyDescent="0.25">
      <c r="A606"/>
      <c r="B606"/>
      <c r="C606"/>
      <c r="D606" s="10"/>
      <c r="E606"/>
      <c r="F606"/>
      <c r="G606"/>
      <c r="H606"/>
      <c r="I606"/>
      <c r="J606" s="10"/>
      <c r="K606"/>
      <c r="L606" s="1">
        <f t="shared" si="9"/>
        <v>0</v>
      </c>
      <c r="N606" s="6" t="str">
        <f>IF(ISERROR(VLOOKUP($A606,'Plano de Contas'!#REF!,8,FALSE)),"",VLOOKUP($A606,'Plano de Contas'!#REF!,8,FALSE))</f>
        <v/>
      </c>
      <c r="P606" s="6" t="str">
        <f>IF(ISERROR(VLOOKUP($A606,'Plano de Contas'!#REF!,10,FALSE)),"",VLOOKUP($A606,'Plano de Contas'!#REF!,10,FALSE))</f>
        <v/>
      </c>
      <c r="R606" s="6" t="e">
        <f>VLOOKUP(A606,'Plano de Contas'!#REF!,12,FALSE)</f>
        <v>#REF!</v>
      </c>
      <c r="T606" s="6" t="e">
        <f>VLOOKUP(A606,'Plano de Contas'!#REF!,13,FALSE)</f>
        <v>#REF!</v>
      </c>
    </row>
    <row r="607" spans="1:20" s="5" customFormat="1" x14ac:dyDescent="0.25">
      <c r="A607"/>
      <c r="B607"/>
      <c r="C607"/>
      <c r="D607"/>
      <c r="E607"/>
      <c r="F607"/>
      <c r="G607"/>
      <c r="H607"/>
      <c r="I607"/>
      <c r="J607"/>
      <c r="K607"/>
      <c r="L607" s="1">
        <f t="shared" si="9"/>
        <v>0</v>
      </c>
      <c r="N607" s="6" t="str">
        <f>IF(ISERROR(VLOOKUP($A607,'Plano de Contas'!#REF!,8,FALSE)),"",VLOOKUP($A607,'Plano de Contas'!#REF!,8,FALSE))</f>
        <v/>
      </c>
      <c r="P607" s="6" t="str">
        <f>IF(ISERROR(VLOOKUP($A607,'Plano de Contas'!#REF!,10,FALSE)),"",VLOOKUP($A607,'Plano de Contas'!#REF!,10,FALSE))</f>
        <v/>
      </c>
      <c r="R607" s="6" t="e">
        <f>VLOOKUP(A607,'Plano de Contas'!#REF!,12,FALSE)</f>
        <v>#REF!</v>
      </c>
      <c r="T607" s="6" t="e">
        <f>VLOOKUP(A607,'Plano de Contas'!#REF!,13,FALSE)</f>
        <v>#REF!</v>
      </c>
    </row>
    <row r="608" spans="1:20" s="5" customFormat="1" x14ac:dyDescent="0.25">
      <c r="A608"/>
      <c r="B608"/>
      <c r="C608"/>
      <c r="D608"/>
      <c r="E608"/>
      <c r="F608" s="10"/>
      <c r="G608"/>
      <c r="H608"/>
      <c r="I608"/>
      <c r="J608"/>
      <c r="K608"/>
      <c r="L608" s="1">
        <f t="shared" si="9"/>
        <v>0</v>
      </c>
      <c r="N608" s="6" t="str">
        <f>IF(ISERROR(VLOOKUP($A608,'Plano de Contas'!#REF!,8,FALSE)),"",VLOOKUP($A608,'Plano de Contas'!#REF!,8,FALSE))</f>
        <v/>
      </c>
      <c r="P608" s="6" t="str">
        <f>IF(ISERROR(VLOOKUP($A608,'Plano de Contas'!#REF!,10,FALSE)),"",VLOOKUP($A608,'Plano de Contas'!#REF!,10,FALSE))</f>
        <v/>
      </c>
      <c r="R608" s="6" t="e">
        <f>VLOOKUP(A608,'Plano de Contas'!#REF!,12,FALSE)</f>
        <v>#REF!</v>
      </c>
      <c r="T608" s="6" t="e">
        <f>VLOOKUP(A608,'Plano de Contas'!#REF!,13,FALSE)</f>
        <v>#REF!</v>
      </c>
    </row>
    <row r="609" spans="1:20" s="5" customFormat="1" x14ac:dyDescent="0.25">
      <c r="A609"/>
      <c r="B609"/>
      <c r="C609"/>
      <c r="D609"/>
      <c r="E609"/>
      <c r="F609" s="10"/>
      <c r="G609"/>
      <c r="H609"/>
      <c r="I609"/>
      <c r="J609"/>
      <c r="K609"/>
      <c r="L609" s="1">
        <f t="shared" si="9"/>
        <v>0</v>
      </c>
      <c r="N609" s="6" t="str">
        <f>IF(ISERROR(VLOOKUP($A609,'Plano de Contas'!#REF!,8,FALSE)),"",VLOOKUP($A609,'Plano de Contas'!#REF!,8,FALSE))</f>
        <v/>
      </c>
      <c r="P609" s="6" t="str">
        <f>IF(ISERROR(VLOOKUP($A609,'Plano de Contas'!#REF!,10,FALSE)),"",VLOOKUP($A609,'Plano de Contas'!#REF!,10,FALSE))</f>
        <v/>
      </c>
      <c r="R609" s="6" t="e">
        <f>VLOOKUP(A609,'Plano de Contas'!#REF!,12,FALSE)</f>
        <v>#REF!</v>
      </c>
      <c r="T609" s="6" t="e">
        <f>VLOOKUP(A609,'Plano de Contas'!#REF!,13,FALSE)</f>
        <v>#REF!</v>
      </c>
    </row>
    <row r="610" spans="1:20" s="5" customFormat="1" x14ac:dyDescent="0.25">
      <c r="A610"/>
      <c r="B610"/>
      <c r="C610"/>
      <c r="D610"/>
      <c r="E610"/>
      <c r="F610"/>
      <c r="G610"/>
      <c r="H610"/>
      <c r="I610"/>
      <c r="J610"/>
      <c r="K610"/>
      <c r="L610" s="1">
        <f t="shared" si="9"/>
        <v>0</v>
      </c>
      <c r="N610" s="6" t="str">
        <f>IF(ISERROR(VLOOKUP($A610,'Plano de Contas'!#REF!,8,FALSE)),"",VLOOKUP($A610,'Plano de Contas'!#REF!,8,FALSE))</f>
        <v/>
      </c>
      <c r="P610" s="6" t="str">
        <f>IF(ISERROR(VLOOKUP($A610,'Plano de Contas'!#REF!,10,FALSE)),"",VLOOKUP($A610,'Plano de Contas'!#REF!,10,FALSE))</f>
        <v/>
      </c>
      <c r="R610" s="6" t="e">
        <f>VLOOKUP(A610,'Plano de Contas'!#REF!,12,FALSE)</f>
        <v>#REF!</v>
      </c>
      <c r="T610" s="6" t="e">
        <f>VLOOKUP(A610,'Plano de Contas'!#REF!,13,FALSE)</f>
        <v>#REF!</v>
      </c>
    </row>
    <row r="611" spans="1:20" s="5" customFormat="1" x14ac:dyDescent="0.25">
      <c r="A611"/>
      <c r="B611"/>
      <c r="C611"/>
      <c r="D611"/>
      <c r="E611"/>
      <c r="F611"/>
      <c r="G611"/>
      <c r="H611"/>
      <c r="I611"/>
      <c r="J611"/>
      <c r="K611"/>
      <c r="L611" s="1">
        <f t="shared" si="9"/>
        <v>0</v>
      </c>
      <c r="N611" s="6" t="str">
        <f>IF(ISERROR(VLOOKUP($A611,'Plano de Contas'!#REF!,8,FALSE)),"",VLOOKUP($A611,'Plano de Contas'!#REF!,8,FALSE))</f>
        <v/>
      </c>
      <c r="P611" s="6" t="str">
        <f>IF(ISERROR(VLOOKUP($A611,'Plano de Contas'!#REF!,10,FALSE)),"",VLOOKUP($A611,'Plano de Contas'!#REF!,10,FALSE))</f>
        <v/>
      </c>
      <c r="R611" s="6" t="e">
        <f>VLOOKUP(A611,'Plano de Contas'!#REF!,12,FALSE)</f>
        <v>#REF!</v>
      </c>
      <c r="T611" s="6" t="e">
        <f>VLOOKUP(A611,'Plano de Contas'!#REF!,13,FALSE)</f>
        <v>#REF!</v>
      </c>
    </row>
    <row r="612" spans="1:20" s="5" customFormat="1" x14ac:dyDescent="0.25">
      <c r="A612"/>
      <c r="B612"/>
      <c r="C612"/>
      <c r="D612"/>
      <c r="E612"/>
      <c r="F612"/>
      <c r="G612"/>
      <c r="H612"/>
      <c r="I612"/>
      <c r="J612"/>
      <c r="K612"/>
      <c r="L612" s="1">
        <f t="shared" si="9"/>
        <v>0</v>
      </c>
      <c r="N612" s="6" t="str">
        <f>IF(ISERROR(VLOOKUP($A612,'Plano de Contas'!#REF!,8,FALSE)),"",VLOOKUP($A612,'Plano de Contas'!#REF!,8,FALSE))</f>
        <v/>
      </c>
      <c r="P612" s="6" t="str">
        <f>IF(ISERROR(VLOOKUP($A612,'Plano de Contas'!#REF!,10,FALSE)),"",VLOOKUP($A612,'Plano de Contas'!#REF!,10,FALSE))</f>
        <v/>
      </c>
      <c r="R612" s="6" t="e">
        <f>VLOOKUP(A612,'Plano de Contas'!#REF!,12,FALSE)</f>
        <v>#REF!</v>
      </c>
      <c r="T612" s="6" t="e">
        <f>VLOOKUP(A612,'Plano de Contas'!#REF!,13,FALSE)</f>
        <v>#REF!</v>
      </c>
    </row>
    <row r="613" spans="1:20" s="5" customFormat="1" x14ac:dyDescent="0.25">
      <c r="A613"/>
      <c r="B613"/>
      <c r="C613"/>
      <c r="D613"/>
      <c r="E613"/>
      <c r="F613"/>
      <c r="G613"/>
      <c r="H613"/>
      <c r="I613"/>
      <c r="J613"/>
      <c r="K613"/>
      <c r="L613" s="1">
        <f t="shared" si="9"/>
        <v>0</v>
      </c>
      <c r="N613" s="6" t="str">
        <f>IF(ISERROR(VLOOKUP($A613,'Plano de Contas'!#REF!,8,FALSE)),"",VLOOKUP($A613,'Plano de Contas'!#REF!,8,FALSE))</f>
        <v/>
      </c>
      <c r="P613" s="6" t="str">
        <f>IF(ISERROR(VLOOKUP($A613,'Plano de Contas'!#REF!,10,FALSE)),"",VLOOKUP($A613,'Plano de Contas'!#REF!,10,FALSE))</f>
        <v/>
      </c>
      <c r="R613" s="6" t="e">
        <f>VLOOKUP(A613,'Plano de Contas'!#REF!,12,FALSE)</f>
        <v>#REF!</v>
      </c>
      <c r="T613" s="6" t="e">
        <f>VLOOKUP(A613,'Plano de Contas'!#REF!,13,FALSE)</f>
        <v>#REF!</v>
      </c>
    </row>
    <row r="614" spans="1:20" s="5" customFormat="1" x14ac:dyDescent="0.25">
      <c r="A614"/>
      <c r="B614"/>
      <c r="C614"/>
      <c r="D614"/>
      <c r="E614"/>
      <c r="F614"/>
      <c r="G614"/>
      <c r="H614"/>
      <c r="I614"/>
      <c r="J614"/>
      <c r="K614"/>
      <c r="L614" s="1">
        <f t="shared" si="9"/>
        <v>0</v>
      </c>
      <c r="N614" s="6" t="str">
        <f>IF(ISERROR(VLOOKUP($A614,'Plano de Contas'!#REF!,8,FALSE)),"",VLOOKUP($A614,'Plano de Contas'!#REF!,8,FALSE))</f>
        <v/>
      </c>
      <c r="P614" s="6" t="str">
        <f>IF(ISERROR(VLOOKUP($A614,'Plano de Contas'!#REF!,10,FALSE)),"",VLOOKUP($A614,'Plano de Contas'!#REF!,10,FALSE))</f>
        <v/>
      </c>
      <c r="R614" s="6" t="e">
        <f>VLOOKUP(A614,'Plano de Contas'!#REF!,12,FALSE)</f>
        <v>#REF!</v>
      </c>
      <c r="T614" s="6" t="e">
        <f>VLOOKUP(A614,'Plano de Contas'!#REF!,13,FALSE)</f>
        <v>#REF!</v>
      </c>
    </row>
    <row r="615" spans="1:20" s="5" customFormat="1" x14ac:dyDescent="0.25">
      <c r="A615"/>
      <c r="B615"/>
      <c r="C615"/>
      <c r="D615"/>
      <c r="E615"/>
      <c r="F615"/>
      <c r="G615"/>
      <c r="H615"/>
      <c r="I615"/>
      <c r="J615"/>
      <c r="K615"/>
      <c r="L615" s="1">
        <f t="shared" si="9"/>
        <v>0</v>
      </c>
      <c r="N615" s="6" t="str">
        <f>IF(ISERROR(VLOOKUP($A615,'Plano de Contas'!#REF!,8,FALSE)),"",VLOOKUP($A615,'Plano de Contas'!#REF!,8,FALSE))</f>
        <v/>
      </c>
      <c r="P615" s="6" t="str">
        <f>IF(ISERROR(VLOOKUP($A615,'Plano de Contas'!#REF!,10,FALSE)),"",VLOOKUP($A615,'Plano de Contas'!#REF!,10,FALSE))</f>
        <v/>
      </c>
      <c r="R615" s="6" t="e">
        <f>VLOOKUP(A615,'Plano de Contas'!#REF!,12,FALSE)</f>
        <v>#REF!</v>
      </c>
      <c r="T615" s="6" t="e">
        <f>VLOOKUP(A615,'Plano de Contas'!#REF!,13,FALSE)</f>
        <v>#REF!</v>
      </c>
    </row>
    <row r="616" spans="1:20" s="5" customFormat="1" x14ac:dyDescent="0.25">
      <c r="A616"/>
      <c r="B616"/>
      <c r="C616"/>
      <c r="D616"/>
      <c r="E616"/>
      <c r="F616"/>
      <c r="G616"/>
      <c r="H616"/>
      <c r="I616"/>
      <c r="J616"/>
      <c r="K616"/>
      <c r="L616" s="1">
        <f t="shared" si="9"/>
        <v>0</v>
      </c>
      <c r="N616" s="6" t="str">
        <f>IF(ISERROR(VLOOKUP($A616,'Plano de Contas'!#REF!,8,FALSE)),"",VLOOKUP($A616,'Plano de Contas'!#REF!,8,FALSE))</f>
        <v/>
      </c>
      <c r="P616" s="6" t="str">
        <f>IF(ISERROR(VLOOKUP($A616,'Plano de Contas'!#REF!,10,FALSE)),"",VLOOKUP($A616,'Plano de Contas'!#REF!,10,FALSE))</f>
        <v/>
      </c>
      <c r="R616" s="6" t="e">
        <f>VLOOKUP(A616,'Plano de Contas'!#REF!,12,FALSE)</f>
        <v>#REF!</v>
      </c>
      <c r="T616" s="6" t="e">
        <f>VLOOKUP(A616,'Plano de Contas'!#REF!,13,FALSE)</f>
        <v>#REF!</v>
      </c>
    </row>
    <row r="617" spans="1:20" s="5" customFormat="1" x14ac:dyDescent="0.25">
      <c r="A617"/>
      <c r="B617"/>
      <c r="C617"/>
      <c r="D617"/>
      <c r="E617"/>
      <c r="F617"/>
      <c r="G617"/>
      <c r="H617"/>
      <c r="I617"/>
      <c r="J617"/>
      <c r="K617"/>
      <c r="L617" s="1">
        <f t="shared" si="9"/>
        <v>0</v>
      </c>
      <c r="N617" s="6" t="str">
        <f>IF(ISERROR(VLOOKUP($A617,'Plano de Contas'!#REF!,8,FALSE)),"",VLOOKUP($A617,'Plano de Contas'!#REF!,8,FALSE))</f>
        <v/>
      </c>
      <c r="P617" s="6" t="str">
        <f>IF(ISERROR(VLOOKUP($A617,'Plano de Contas'!#REF!,10,FALSE)),"",VLOOKUP($A617,'Plano de Contas'!#REF!,10,FALSE))</f>
        <v/>
      </c>
      <c r="R617" s="6" t="e">
        <f>VLOOKUP(A617,'Plano de Contas'!#REF!,12,FALSE)</f>
        <v>#REF!</v>
      </c>
      <c r="T617" s="6" t="e">
        <f>VLOOKUP(A617,'Plano de Contas'!#REF!,13,FALSE)</f>
        <v>#REF!</v>
      </c>
    </row>
    <row r="618" spans="1:20" s="5" customFormat="1" x14ac:dyDescent="0.25">
      <c r="A618"/>
      <c r="B618"/>
      <c r="C618"/>
      <c r="D618"/>
      <c r="E618"/>
      <c r="F618"/>
      <c r="G618"/>
      <c r="H618"/>
      <c r="I618"/>
      <c r="J618"/>
      <c r="K618"/>
      <c r="L618" s="1">
        <f t="shared" si="9"/>
        <v>0</v>
      </c>
      <c r="N618" s="6" t="str">
        <f>IF(ISERROR(VLOOKUP($A618,'Plano de Contas'!#REF!,8,FALSE)),"",VLOOKUP($A618,'Plano de Contas'!#REF!,8,FALSE))</f>
        <v/>
      </c>
      <c r="P618" s="6" t="str">
        <f>IF(ISERROR(VLOOKUP($A618,'Plano de Contas'!#REF!,10,FALSE)),"",VLOOKUP($A618,'Plano de Contas'!#REF!,10,FALSE))</f>
        <v/>
      </c>
      <c r="R618" s="6" t="e">
        <f>VLOOKUP(A618,'Plano de Contas'!#REF!,12,FALSE)</f>
        <v>#REF!</v>
      </c>
      <c r="T618" s="6" t="e">
        <f>VLOOKUP(A618,'Plano de Contas'!#REF!,13,FALSE)</f>
        <v>#REF!</v>
      </c>
    </row>
    <row r="619" spans="1:20" s="5" customFormat="1" x14ac:dyDescent="0.25">
      <c r="A619"/>
      <c r="B619"/>
      <c r="C619"/>
      <c r="D619"/>
      <c r="E619"/>
      <c r="F619"/>
      <c r="G619"/>
      <c r="H619"/>
      <c r="I619"/>
      <c r="J619"/>
      <c r="K619"/>
      <c r="L619" s="1">
        <f t="shared" si="9"/>
        <v>0</v>
      </c>
      <c r="N619" s="6" t="str">
        <f>IF(ISERROR(VLOOKUP($A619,'Plano de Contas'!#REF!,8,FALSE)),"",VLOOKUP($A619,'Plano de Contas'!#REF!,8,FALSE))</f>
        <v/>
      </c>
      <c r="P619" s="6" t="str">
        <f>IF(ISERROR(VLOOKUP($A619,'Plano de Contas'!#REF!,10,FALSE)),"",VLOOKUP($A619,'Plano de Contas'!#REF!,10,FALSE))</f>
        <v/>
      </c>
      <c r="R619" s="6" t="e">
        <f>VLOOKUP(A619,'Plano de Contas'!#REF!,12,FALSE)</f>
        <v>#REF!</v>
      </c>
      <c r="T619" s="6" t="e">
        <f>VLOOKUP(A619,'Plano de Contas'!#REF!,13,FALSE)</f>
        <v>#REF!</v>
      </c>
    </row>
    <row r="620" spans="1:20" s="5" customFormat="1" x14ac:dyDescent="0.25">
      <c r="A620"/>
      <c r="B620"/>
      <c r="C620"/>
      <c r="D620"/>
      <c r="E620"/>
      <c r="F620"/>
      <c r="G620"/>
      <c r="H620"/>
      <c r="I620"/>
      <c r="J620"/>
      <c r="K620"/>
      <c r="L620" s="1">
        <f t="shared" si="9"/>
        <v>0</v>
      </c>
      <c r="N620" s="6" t="str">
        <f>IF(ISERROR(VLOOKUP($A620,'Plano de Contas'!#REF!,8,FALSE)),"",VLOOKUP($A620,'Plano de Contas'!#REF!,8,FALSE))</f>
        <v/>
      </c>
      <c r="P620" s="6" t="str">
        <f>IF(ISERROR(VLOOKUP($A620,'Plano de Contas'!#REF!,10,FALSE)),"",VLOOKUP($A620,'Plano de Contas'!#REF!,10,FALSE))</f>
        <v/>
      </c>
      <c r="R620" s="6" t="e">
        <f>VLOOKUP(A620,'Plano de Contas'!#REF!,12,FALSE)</f>
        <v>#REF!</v>
      </c>
      <c r="T620" s="6" t="e">
        <f>VLOOKUP(A620,'Plano de Contas'!#REF!,13,FALSE)</f>
        <v>#REF!</v>
      </c>
    </row>
    <row r="621" spans="1:20" s="5" customFormat="1" x14ac:dyDescent="0.25">
      <c r="A621"/>
      <c r="B621"/>
      <c r="C621"/>
      <c r="D621"/>
      <c r="E621"/>
      <c r="F621"/>
      <c r="G621"/>
      <c r="H621"/>
      <c r="I621"/>
      <c r="J621"/>
      <c r="K621"/>
      <c r="L621" s="1">
        <f t="shared" si="9"/>
        <v>0</v>
      </c>
      <c r="N621" s="6" t="str">
        <f>IF(ISERROR(VLOOKUP($A621,'Plano de Contas'!#REF!,8,FALSE)),"",VLOOKUP($A621,'Plano de Contas'!#REF!,8,FALSE))</f>
        <v/>
      </c>
      <c r="P621" s="6" t="str">
        <f>IF(ISERROR(VLOOKUP($A621,'Plano de Contas'!#REF!,10,FALSE)),"",VLOOKUP($A621,'Plano de Contas'!#REF!,10,FALSE))</f>
        <v/>
      </c>
      <c r="R621" s="6" t="e">
        <f>VLOOKUP(A621,'Plano de Contas'!#REF!,12,FALSE)</f>
        <v>#REF!</v>
      </c>
      <c r="T621" s="6" t="e">
        <f>VLOOKUP(A621,'Plano de Contas'!#REF!,13,FALSE)</f>
        <v>#REF!</v>
      </c>
    </row>
    <row r="622" spans="1:20" s="5" customFormat="1" x14ac:dyDescent="0.25">
      <c r="A622"/>
      <c r="B622"/>
      <c r="C622"/>
      <c r="D622"/>
      <c r="E622"/>
      <c r="F622"/>
      <c r="G622"/>
      <c r="H622"/>
      <c r="I622"/>
      <c r="J622"/>
      <c r="K622"/>
      <c r="L622" s="1">
        <f t="shared" si="9"/>
        <v>0</v>
      </c>
      <c r="N622" s="6" t="str">
        <f>IF(ISERROR(VLOOKUP($A622,'Plano de Contas'!#REF!,8,FALSE)),"",VLOOKUP($A622,'Plano de Contas'!#REF!,8,FALSE))</f>
        <v/>
      </c>
      <c r="P622" s="6" t="str">
        <f>IF(ISERROR(VLOOKUP($A622,'Plano de Contas'!#REF!,10,FALSE)),"",VLOOKUP($A622,'Plano de Contas'!#REF!,10,FALSE))</f>
        <v/>
      </c>
      <c r="R622" s="6" t="e">
        <f>VLOOKUP(A622,'Plano de Contas'!#REF!,12,FALSE)</f>
        <v>#REF!</v>
      </c>
      <c r="T622" s="6" t="e">
        <f>VLOOKUP(A622,'Plano de Contas'!#REF!,13,FALSE)</f>
        <v>#REF!</v>
      </c>
    </row>
    <row r="623" spans="1:20" s="5" customFormat="1" x14ac:dyDescent="0.25">
      <c r="A623"/>
      <c r="B623"/>
      <c r="C623"/>
      <c r="D623"/>
      <c r="E623"/>
      <c r="F623"/>
      <c r="G623"/>
      <c r="H623"/>
      <c r="I623"/>
      <c r="J623"/>
      <c r="K623"/>
      <c r="L623" s="1">
        <f t="shared" si="9"/>
        <v>0</v>
      </c>
      <c r="N623" s="6" t="str">
        <f>IF(ISERROR(VLOOKUP($A623,'Plano de Contas'!#REF!,8,FALSE)),"",VLOOKUP($A623,'Plano de Contas'!#REF!,8,FALSE))</f>
        <v/>
      </c>
      <c r="P623" s="6" t="str">
        <f>IF(ISERROR(VLOOKUP($A623,'Plano de Contas'!#REF!,10,FALSE)),"",VLOOKUP($A623,'Plano de Contas'!#REF!,10,FALSE))</f>
        <v/>
      </c>
      <c r="R623" s="6" t="e">
        <f>VLOOKUP(A623,'Plano de Contas'!#REF!,12,FALSE)</f>
        <v>#REF!</v>
      </c>
      <c r="T623" s="6" t="e">
        <f>VLOOKUP(A623,'Plano de Contas'!#REF!,13,FALSE)</f>
        <v>#REF!</v>
      </c>
    </row>
    <row r="624" spans="1:20" s="5" customFormat="1" x14ac:dyDescent="0.25">
      <c r="A624"/>
      <c r="B624"/>
      <c r="C624"/>
      <c r="D624"/>
      <c r="E624"/>
      <c r="F624"/>
      <c r="G624"/>
      <c r="H624"/>
      <c r="I624"/>
      <c r="J624"/>
      <c r="K624"/>
      <c r="L624" s="1">
        <f t="shared" si="9"/>
        <v>0</v>
      </c>
      <c r="N624" s="6" t="str">
        <f>IF(ISERROR(VLOOKUP($A624,'Plano de Contas'!#REF!,8,FALSE)),"",VLOOKUP($A624,'Plano de Contas'!#REF!,8,FALSE))</f>
        <v/>
      </c>
      <c r="P624" s="6" t="str">
        <f>IF(ISERROR(VLOOKUP($A624,'Plano de Contas'!#REF!,10,FALSE)),"",VLOOKUP($A624,'Plano de Contas'!#REF!,10,FALSE))</f>
        <v/>
      </c>
      <c r="R624" s="6" t="e">
        <f>VLOOKUP(A624,'Plano de Contas'!#REF!,12,FALSE)</f>
        <v>#REF!</v>
      </c>
      <c r="T624" s="6" t="e">
        <f>VLOOKUP(A624,'Plano de Contas'!#REF!,13,FALSE)</f>
        <v>#REF!</v>
      </c>
    </row>
    <row r="625" spans="1:20" s="5" customFormat="1" x14ac:dyDescent="0.25">
      <c r="A625"/>
      <c r="B625"/>
      <c r="C625"/>
      <c r="D625"/>
      <c r="E625"/>
      <c r="F625"/>
      <c r="G625"/>
      <c r="H625"/>
      <c r="I625"/>
      <c r="J625"/>
      <c r="K625"/>
      <c r="L625" s="1">
        <f t="shared" si="9"/>
        <v>0</v>
      </c>
      <c r="N625" s="6" t="str">
        <f>IF(ISERROR(VLOOKUP($A625,'Plano de Contas'!#REF!,8,FALSE)),"",VLOOKUP($A625,'Plano de Contas'!#REF!,8,FALSE))</f>
        <v/>
      </c>
      <c r="P625" s="6" t="str">
        <f>IF(ISERROR(VLOOKUP($A625,'Plano de Contas'!#REF!,10,FALSE)),"",VLOOKUP($A625,'Plano de Contas'!#REF!,10,FALSE))</f>
        <v/>
      </c>
      <c r="R625" s="6" t="e">
        <f>VLOOKUP(A625,'Plano de Contas'!#REF!,12,FALSE)</f>
        <v>#REF!</v>
      </c>
      <c r="T625" s="6" t="e">
        <f>VLOOKUP(A625,'Plano de Contas'!#REF!,13,FALSE)</f>
        <v>#REF!</v>
      </c>
    </row>
    <row r="626" spans="1:20" s="5" customFormat="1" x14ac:dyDescent="0.25">
      <c r="A626"/>
      <c r="B626"/>
      <c r="C626"/>
      <c r="D626"/>
      <c r="E626"/>
      <c r="F626"/>
      <c r="G626"/>
      <c r="H626"/>
      <c r="I626"/>
      <c r="J626"/>
      <c r="K626"/>
      <c r="L626" s="1">
        <f t="shared" si="9"/>
        <v>0</v>
      </c>
      <c r="N626" s="6" t="str">
        <f>IF(ISERROR(VLOOKUP($A626,'Plano de Contas'!#REF!,8,FALSE)),"",VLOOKUP($A626,'Plano de Contas'!#REF!,8,FALSE))</f>
        <v/>
      </c>
      <c r="P626" s="6" t="str">
        <f>IF(ISERROR(VLOOKUP($A626,'Plano de Contas'!#REF!,10,FALSE)),"",VLOOKUP($A626,'Plano de Contas'!#REF!,10,FALSE))</f>
        <v/>
      </c>
      <c r="R626" s="6" t="e">
        <f>VLOOKUP(A626,'Plano de Contas'!#REF!,12,FALSE)</f>
        <v>#REF!</v>
      </c>
      <c r="T626" s="6" t="e">
        <f>VLOOKUP(A626,'Plano de Contas'!#REF!,13,FALSE)</f>
        <v>#REF!</v>
      </c>
    </row>
    <row r="627" spans="1:20" s="5" customFormat="1" x14ac:dyDescent="0.25">
      <c r="A627"/>
      <c r="B627"/>
      <c r="C627"/>
      <c r="D627"/>
      <c r="E627"/>
      <c r="F627"/>
      <c r="G627"/>
      <c r="H627"/>
      <c r="I627"/>
      <c r="J627"/>
      <c r="K627"/>
      <c r="L627" s="1">
        <f t="shared" si="9"/>
        <v>0</v>
      </c>
      <c r="N627" s="6" t="str">
        <f>IF(ISERROR(VLOOKUP($A627,'Plano de Contas'!#REF!,8,FALSE)),"",VLOOKUP($A627,'Plano de Contas'!#REF!,8,FALSE))</f>
        <v/>
      </c>
      <c r="P627" s="6" t="str">
        <f>IF(ISERROR(VLOOKUP($A627,'Plano de Contas'!#REF!,10,FALSE)),"",VLOOKUP($A627,'Plano de Contas'!#REF!,10,FALSE))</f>
        <v/>
      </c>
      <c r="R627" s="6" t="e">
        <f>VLOOKUP(A627,'Plano de Contas'!#REF!,12,FALSE)</f>
        <v>#REF!</v>
      </c>
      <c r="T627" s="6" t="e">
        <f>VLOOKUP(A627,'Plano de Contas'!#REF!,13,FALSE)</f>
        <v>#REF!</v>
      </c>
    </row>
    <row r="628" spans="1:20" s="5" customFormat="1" x14ac:dyDescent="0.25">
      <c r="A628"/>
      <c r="B628"/>
      <c r="C628"/>
      <c r="D628"/>
      <c r="E628"/>
      <c r="F628"/>
      <c r="G628"/>
      <c r="H628"/>
      <c r="I628"/>
      <c r="J628"/>
      <c r="K628"/>
      <c r="L628" s="1">
        <f t="shared" si="9"/>
        <v>0</v>
      </c>
      <c r="N628" s="6" t="str">
        <f>IF(ISERROR(VLOOKUP($A628,'Plano de Contas'!#REF!,8,FALSE)),"",VLOOKUP($A628,'Plano de Contas'!#REF!,8,FALSE))</f>
        <v/>
      </c>
      <c r="P628" s="6" t="str">
        <f>IF(ISERROR(VLOOKUP($A628,'Plano de Contas'!#REF!,10,FALSE)),"",VLOOKUP($A628,'Plano de Contas'!#REF!,10,FALSE))</f>
        <v/>
      </c>
      <c r="R628" s="6" t="e">
        <f>VLOOKUP(A628,'Plano de Contas'!#REF!,12,FALSE)</f>
        <v>#REF!</v>
      </c>
      <c r="T628" s="6" t="e">
        <f>VLOOKUP(A628,'Plano de Contas'!#REF!,13,FALSE)</f>
        <v>#REF!</v>
      </c>
    </row>
    <row r="629" spans="1:20" s="5" customFormat="1" x14ac:dyDescent="0.25">
      <c r="A629"/>
      <c r="B629"/>
      <c r="C629"/>
      <c r="D629"/>
      <c r="E629"/>
      <c r="F629"/>
      <c r="G629"/>
      <c r="H629"/>
      <c r="I629"/>
      <c r="J629"/>
      <c r="K629"/>
      <c r="L629" s="1">
        <f t="shared" si="9"/>
        <v>0</v>
      </c>
      <c r="N629" s="6" t="str">
        <f>IF(ISERROR(VLOOKUP($A629,'Plano de Contas'!#REF!,8,FALSE)),"",VLOOKUP($A629,'Plano de Contas'!#REF!,8,FALSE))</f>
        <v/>
      </c>
      <c r="P629" s="6" t="str">
        <f>IF(ISERROR(VLOOKUP($A629,'Plano de Contas'!#REF!,10,FALSE)),"",VLOOKUP($A629,'Plano de Contas'!#REF!,10,FALSE))</f>
        <v/>
      </c>
      <c r="R629" s="6" t="e">
        <f>VLOOKUP(A629,'Plano de Contas'!#REF!,12,FALSE)</f>
        <v>#REF!</v>
      </c>
      <c r="T629" s="6" t="e">
        <f>VLOOKUP(A629,'Plano de Contas'!#REF!,13,FALSE)</f>
        <v>#REF!</v>
      </c>
    </row>
    <row r="630" spans="1:20" s="5" customFormat="1" x14ac:dyDescent="0.25">
      <c r="A630"/>
      <c r="B630"/>
      <c r="C630"/>
      <c r="D630"/>
      <c r="E630"/>
      <c r="F630"/>
      <c r="G630"/>
      <c r="H630"/>
      <c r="I630"/>
      <c r="J630"/>
      <c r="K630"/>
      <c r="L630" s="1">
        <f t="shared" si="9"/>
        <v>0</v>
      </c>
      <c r="N630" s="6" t="str">
        <f>IF(ISERROR(VLOOKUP($A630,'Plano de Contas'!#REF!,8,FALSE)),"",VLOOKUP($A630,'Plano de Contas'!#REF!,8,FALSE))</f>
        <v/>
      </c>
      <c r="P630" s="6" t="str">
        <f>IF(ISERROR(VLOOKUP($A630,'Plano de Contas'!#REF!,10,FALSE)),"",VLOOKUP($A630,'Plano de Contas'!#REF!,10,FALSE))</f>
        <v/>
      </c>
      <c r="R630" s="6" t="e">
        <f>VLOOKUP(A630,'Plano de Contas'!#REF!,12,FALSE)</f>
        <v>#REF!</v>
      </c>
      <c r="T630" s="6" t="e">
        <f>VLOOKUP(A630,'Plano de Contas'!#REF!,13,FALSE)</f>
        <v>#REF!</v>
      </c>
    </row>
    <row r="631" spans="1:20" s="5" customFormat="1" x14ac:dyDescent="0.25">
      <c r="A631"/>
      <c r="B631"/>
      <c r="C631"/>
      <c r="D631"/>
      <c r="E631"/>
      <c r="F631"/>
      <c r="G631"/>
      <c r="H631"/>
      <c r="I631"/>
      <c r="J631"/>
      <c r="K631"/>
      <c r="L631" s="1">
        <f t="shared" si="9"/>
        <v>0</v>
      </c>
      <c r="N631" s="6" t="str">
        <f>IF(ISERROR(VLOOKUP($A631,'Plano de Contas'!#REF!,8,FALSE)),"",VLOOKUP($A631,'Plano de Contas'!#REF!,8,FALSE))</f>
        <v/>
      </c>
      <c r="P631" s="6" t="str">
        <f>IF(ISERROR(VLOOKUP($A631,'Plano de Contas'!#REF!,10,FALSE)),"",VLOOKUP($A631,'Plano de Contas'!#REF!,10,FALSE))</f>
        <v/>
      </c>
      <c r="R631" s="6" t="e">
        <f>VLOOKUP(A631,'Plano de Contas'!#REF!,12,FALSE)</f>
        <v>#REF!</v>
      </c>
      <c r="T631" s="6" t="e">
        <f>VLOOKUP(A631,'Plano de Contas'!#REF!,13,FALSE)</f>
        <v>#REF!</v>
      </c>
    </row>
    <row r="632" spans="1:20" s="5" customFormat="1" x14ac:dyDescent="0.25">
      <c r="A632"/>
      <c r="B632"/>
      <c r="C632"/>
      <c r="D632"/>
      <c r="E632"/>
      <c r="F632"/>
      <c r="G632"/>
      <c r="H632"/>
      <c r="I632"/>
      <c r="J632"/>
      <c r="K632"/>
      <c r="L632" s="1">
        <f t="shared" si="9"/>
        <v>0</v>
      </c>
      <c r="N632" s="6" t="str">
        <f>IF(ISERROR(VLOOKUP($A632,'Plano de Contas'!#REF!,8,FALSE)),"",VLOOKUP($A632,'Plano de Contas'!#REF!,8,FALSE))</f>
        <v/>
      </c>
      <c r="P632" s="6" t="str">
        <f>IF(ISERROR(VLOOKUP($A632,'Plano de Contas'!#REF!,10,FALSE)),"",VLOOKUP($A632,'Plano de Contas'!#REF!,10,FALSE))</f>
        <v/>
      </c>
      <c r="R632" s="6" t="e">
        <f>VLOOKUP(A632,'Plano de Contas'!#REF!,12,FALSE)</f>
        <v>#REF!</v>
      </c>
      <c r="T632" s="6" t="e">
        <f>VLOOKUP(A632,'Plano de Contas'!#REF!,13,FALSE)</f>
        <v>#REF!</v>
      </c>
    </row>
    <row r="633" spans="1:20" s="5" customFormat="1" x14ac:dyDescent="0.25">
      <c r="A633"/>
      <c r="B633"/>
      <c r="C633"/>
      <c r="D633"/>
      <c r="E633"/>
      <c r="F633"/>
      <c r="G633"/>
      <c r="H633"/>
      <c r="I633"/>
      <c r="J633"/>
      <c r="K633"/>
      <c r="L633" s="1">
        <f t="shared" si="9"/>
        <v>0</v>
      </c>
      <c r="N633" s="6" t="str">
        <f>IF(ISERROR(VLOOKUP($A633,'Plano de Contas'!#REF!,8,FALSE)),"",VLOOKUP($A633,'Plano de Contas'!#REF!,8,FALSE))</f>
        <v/>
      </c>
      <c r="P633" s="6" t="str">
        <f>IF(ISERROR(VLOOKUP($A633,'Plano de Contas'!#REF!,10,FALSE)),"",VLOOKUP($A633,'Plano de Contas'!#REF!,10,FALSE))</f>
        <v/>
      </c>
      <c r="R633" s="6" t="e">
        <f>VLOOKUP(A633,'Plano de Contas'!#REF!,12,FALSE)</f>
        <v>#REF!</v>
      </c>
      <c r="T633" s="6" t="e">
        <f>VLOOKUP(A633,'Plano de Contas'!#REF!,13,FALSE)</f>
        <v>#REF!</v>
      </c>
    </row>
    <row r="634" spans="1:20" s="5" customFormat="1" x14ac:dyDescent="0.25">
      <c r="A634"/>
      <c r="B634"/>
      <c r="C634"/>
      <c r="D634"/>
      <c r="E634"/>
      <c r="F634"/>
      <c r="G634"/>
      <c r="H634"/>
      <c r="I634"/>
      <c r="J634"/>
      <c r="K634"/>
      <c r="L634" s="1">
        <f t="shared" si="9"/>
        <v>0</v>
      </c>
      <c r="N634" s="6" t="str">
        <f>IF(ISERROR(VLOOKUP($A634,'Plano de Contas'!#REF!,8,FALSE)),"",VLOOKUP($A634,'Plano de Contas'!#REF!,8,FALSE))</f>
        <v/>
      </c>
      <c r="P634" s="6" t="str">
        <f>IF(ISERROR(VLOOKUP($A634,'Plano de Contas'!#REF!,10,FALSE)),"",VLOOKUP($A634,'Plano de Contas'!#REF!,10,FALSE))</f>
        <v/>
      </c>
      <c r="R634" s="6" t="e">
        <f>VLOOKUP(A634,'Plano de Contas'!#REF!,12,FALSE)</f>
        <v>#REF!</v>
      </c>
      <c r="T634" s="6" t="e">
        <f>VLOOKUP(A634,'Plano de Contas'!#REF!,13,FALSE)</f>
        <v>#REF!</v>
      </c>
    </row>
    <row r="635" spans="1:20" s="5" customFormat="1" x14ac:dyDescent="0.25">
      <c r="A635"/>
      <c r="B635"/>
      <c r="C635"/>
      <c r="D635"/>
      <c r="E635"/>
      <c r="F635"/>
      <c r="G635"/>
      <c r="H635"/>
      <c r="I635"/>
      <c r="J635"/>
      <c r="K635"/>
      <c r="L635" s="1">
        <f t="shared" si="9"/>
        <v>0</v>
      </c>
      <c r="N635" s="6" t="str">
        <f>IF(ISERROR(VLOOKUP($A635,'Plano de Contas'!#REF!,8,FALSE)),"",VLOOKUP($A635,'Plano de Contas'!#REF!,8,FALSE))</f>
        <v/>
      </c>
      <c r="P635" s="6" t="str">
        <f>IF(ISERROR(VLOOKUP($A635,'Plano de Contas'!#REF!,10,FALSE)),"",VLOOKUP($A635,'Plano de Contas'!#REF!,10,FALSE))</f>
        <v/>
      </c>
      <c r="R635" s="6" t="e">
        <f>VLOOKUP(A635,'Plano de Contas'!#REF!,12,FALSE)</f>
        <v>#REF!</v>
      </c>
      <c r="T635" s="6" t="e">
        <f>VLOOKUP(A635,'Plano de Contas'!#REF!,13,FALSE)</f>
        <v>#REF!</v>
      </c>
    </row>
    <row r="636" spans="1:20" s="5" customFormat="1" x14ac:dyDescent="0.25">
      <c r="A636"/>
      <c r="B636"/>
      <c r="C636"/>
      <c r="D636"/>
      <c r="E636"/>
      <c r="F636"/>
      <c r="G636"/>
      <c r="H636"/>
      <c r="I636"/>
      <c r="J636"/>
      <c r="K636"/>
      <c r="L636" s="1">
        <f t="shared" si="9"/>
        <v>0</v>
      </c>
      <c r="N636" s="6" t="str">
        <f>IF(ISERROR(VLOOKUP($A636,'Plano de Contas'!#REF!,8,FALSE)),"",VLOOKUP($A636,'Plano de Contas'!#REF!,8,FALSE))</f>
        <v/>
      </c>
      <c r="P636" s="6" t="str">
        <f>IF(ISERROR(VLOOKUP($A636,'Plano de Contas'!#REF!,10,FALSE)),"",VLOOKUP($A636,'Plano de Contas'!#REF!,10,FALSE))</f>
        <v/>
      </c>
      <c r="R636" s="6" t="e">
        <f>VLOOKUP(A636,'Plano de Contas'!#REF!,12,FALSE)</f>
        <v>#REF!</v>
      </c>
      <c r="T636" s="6" t="e">
        <f>VLOOKUP(A636,'Plano de Contas'!#REF!,13,FALSE)</f>
        <v>#REF!</v>
      </c>
    </row>
    <row r="637" spans="1:20" s="5" customFormat="1" x14ac:dyDescent="0.25">
      <c r="A637"/>
      <c r="B637"/>
      <c r="C637"/>
      <c r="D637"/>
      <c r="E637"/>
      <c r="F637"/>
      <c r="G637"/>
      <c r="H637"/>
      <c r="I637"/>
      <c r="J637"/>
      <c r="K637"/>
      <c r="L637" s="1">
        <f t="shared" si="9"/>
        <v>0</v>
      </c>
      <c r="N637" s="6" t="str">
        <f>IF(ISERROR(VLOOKUP($A637,'Plano de Contas'!#REF!,8,FALSE)),"",VLOOKUP($A637,'Plano de Contas'!#REF!,8,FALSE))</f>
        <v/>
      </c>
      <c r="P637" s="6" t="str">
        <f>IF(ISERROR(VLOOKUP($A637,'Plano de Contas'!#REF!,10,FALSE)),"",VLOOKUP($A637,'Plano de Contas'!#REF!,10,FALSE))</f>
        <v/>
      </c>
      <c r="R637" s="6" t="e">
        <f>VLOOKUP(A637,'Plano de Contas'!#REF!,12,FALSE)</f>
        <v>#REF!</v>
      </c>
      <c r="T637" s="6" t="e">
        <f>VLOOKUP(A637,'Plano de Contas'!#REF!,13,FALSE)</f>
        <v>#REF!</v>
      </c>
    </row>
    <row r="638" spans="1:20" s="5" customFormat="1" x14ac:dyDescent="0.25">
      <c r="A638"/>
      <c r="B638"/>
      <c r="C638"/>
      <c r="D638"/>
      <c r="E638"/>
      <c r="F638"/>
      <c r="G638"/>
      <c r="H638"/>
      <c r="I638"/>
      <c r="J638"/>
      <c r="K638"/>
      <c r="L638" s="1">
        <f t="shared" si="9"/>
        <v>0</v>
      </c>
      <c r="N638" s="6" t="str">
        <f>IF(ISERROR(VLOOKUP($A638,'Plano de Contas'!#REF!,8,FALSE)),"",VLOOKUP($A638,'Plano de Contas'!#REF!,8,FALSE))</f>
        <v/>
      </c>
      <c r="P638" s="6" t="str">
        <f>IF(ISERROR(VLOOKUP($A638,'Plano de Contas'!#REF!,10,FALSE)),"",VLOOKUP($A638,'Plano de Contas'!#REF!,10,FALSE))</f>
        <v/>
      </c>
      <c r="R638" s="6" t="e">
        <f>VLOOKUP(A638,'Plano de Contas'!#REF!,12,FALSE)</f>
        <v>#REF!</v>
      </c>
      <c r="T638" s="6" t="e">
        <f>VLOOKUP(A638,'Plano de Contas'!#REF!,13,FALSE)</f>
        <v>#REF!</v>
      </c>
    </row>
    <row r="639" spans="1:20" s="5" customFormat="1" x14ac:dyDescent="0.25">
      <c r="A639"/>
      <c r="B639"/>
      <c r="C639"/>
      <c r="D639"/>
      <c r="E639"/>
      <c r="F639"/>
      <c r="G639"/>
      <c r="H639"/>
      <c r="I639"/>
      <c r="J639"/>
      <c r="K639"/>
      <c r="L639" s="1">
        <f t="shared" si="9"/>
        <v>0</v>
      </c>
      <c r="N639" s="6" t="str">
        <f>IF(ISERROR(VLOOKUP($A639,'Plano de Contas'!#REF!,8,FALSE)),"",VLOOKUP($A639,'Plano de Contas'!#REF!,8,FALSE))</f>
        <v/>
      </c>
      <c r="P639" s="6" t="str">
        <f>IF(ISERROR(VLOOKUP($A639,'Plano de Contas'!#REF!,10,FALSE)),"",VLOOKUP($A639,'Plano de Contas'!#REF!,10,FALSE))</f>
        <v/>
      </c>
      <c r="R639" s="6" t="e">
        <f>VLOOKUP(A639,'Plano de Contas'!#REF!,12,FALSE)</f>
        <v>#REF!</v>
      </c>
      <c r="T639" s="6" t="e">
        <f>VLOOKUP(A639,'Plano de Contas'!#REF!,13,FALSE)</f>
        <v>#REF!</v>
      </c>
    </row>
    <row r="640" spans="1:20" s="5" customFormat="1" x14ac:dyDescent="0.25">
      <c r="A640"/>
      <c r="B640"/>
      <c r="C640"/>
      <c r="D640"/>
      <c r="E640"/>
      <c r="F640"/>
      <c r="G640"/>
      <c r="H640"/>
      <c r="I640"/>
      <c r="J640"/>
      <c r="K640"/>
      <c r="L640" s="1">
        <f t="shared" si="9"/>
        <v>0</v>
      </c>
      <c r="N640" s="6" t="str">
        <f>IF(ISERROR(VLOOKUP($A640,'Plano de Contas'!#REF!,8,FALSE)),"",VLOOKUP($A640,'Plano de Contas'!#REF!,8,FALSE))</f>
        <v/>
      </c>
      <c r="P640" s="6" t="str">
        <f>IF(ISERROR(VLOOKUP($A640,'Plano de Contas'!#REF!,10,FALSE)),"",VLOOKUP($A640,'Plano de Contas'!#REF!,10,FALSE))</f>
        <v/>
      </c>
      <c r="R640" s="6" t="e">
        <f>VLOOKUP(A640,'Plano de Contas'!#REF!,12,FALSE)</f>
        <v>#REF!</v>
      </c>
      <c r="T640" s="6" t="e">
        <f>VLOOKUP(A640,'Plano de Contas'!#REF!,13,FALSE)</f>
        <v>#REF!</v>
      </c>
    </row>
    <row r="641" spans="1:20" s="5" customFormat="1" x14ac:dyDescent="0.25">
      <c r="A641"/>
      <c r="B641"/>
      <c r="C641"/>
      <c r="D641"/>
      <c r="E641"/>
      <c r="F641"/>
      <c r="G641"/>
      <c r="H641"/>
      <c r="I641"/>
      <c r="J641"/>
      <c r="K641"/>
      <c r="L641" s="1">
        <f t="shared" si="9"/>
        <v>0</v>
      </c>
      <c r="N641" s="6" t="str">
        <f>IF(ISERROR(VLOOKUP($A641,'Plano de Contas'!#REF!,8,FALSE)),"",VLOOKUP($A641,'Plano de Contas'!#REF!,8,FALSE))</f>
        <v/>
      </c>
      <c r="P641" s="6" t="str">
        <f>IF(ISERROR(VLOOKUP($A641,'Plano de Contas'!#REF!,10,FALSE)),"",VLOOKUP($A641,'Plano de Contas'!#REF!,10,FALSE))</f>
        <v/>
      </c>
      <c r="R641" s="6" t="e">
        <f>VLOOKUP(A641,'Plano de Contas'!#REF!,12,FALSE)</f>
        <v>#REF!</v>
      </c>
      <c r="T641" s="6" t="e">
        <f>VLOOKUP(A641,'Plano de Contas'!#REF!,13,FALSE)</f>
        <v>#REF!</v>
      </c>
    </row>
    <row r="642" spans="1:20" s="5" customFormat="1" x14ac:dyDescent="0.25">
      <c r="A642"/>
      <c r="B642"/>
      <c r="C642"/>
      <c r="D642"/>
      <c r="E642"/>
      <c r="F642"/>
      <c r="G642"/>
      <c r="H642"/>
      <c r="I642"/>
      <c r="J642"/>
      <c r="K642"/>
      <c r="L642" s="1">
        <f t="shared" si="9"/>
        <v>0</v>
      </c>
      <c r="N642" s="6" t="str">
        <f>IF(ISERROR(VLOOKUP($A642,'Plano de Contas'!#REF!,8,FALSE)),"",VLOOKUP($A642,'Plano de Contas'!#REF!,8,FALSE))</f>
        <v/>
      </c>
      <c r="P642" s="6" t="str">
        <f>IF(ISERROR(VLOOKUP($A642,'Plano de Contas'!#REF!,10,FALSE)),"",VLOOKUP($A642,'Plano de Contas'!#REF!,10,FALSE))</f>
        <v/>
      </c>
      <c r="R642" s="6" t="e">
        <f>VLOOKUP(A642,'Plano de Contas'!#REF!,12,FALSE)</f>
        <v>#REF!</v>
      </c>
      <c r="T642" s="6" t="e">
        <f>VLOOKUP(A642,'Plano de Contas'!#REF!,13,FALSE)</f>
        <v>#REF!</v>
      </c>
    </row>
    <row r="643" spans="1:20" s="5" customFormat="1" x14ac:dyDescent="0.25">
      <c r="A643"/>
      <c r="B643"/>
      <c r="C643"/>
      <c r="D643"/>
      <c r="E643"/>
      <c r="F643"/>
      <c r="G643"/>
      <c r="H643"/>
      <c r="I643"/>
      <c r="J643"/>
      <c r="K643"/>
      <c r="L643" s="1">
        <f t="shared" si="9"/>
        <v>0</v>
      </c>
      <c r="N643" s="6" t="str">
        <f>IF(ISERROR(VLOOKUP($A643,'Plano de Contas'!#REF!,8,FALSE)),"",VLOOKUP($A643,'Plano de Contas'!#REF!,8,FALSE))</f>
        <v/>
      </c>
      <c r="P643" s="6" t="str">
        <f>IF(ISERROR(VLOOKUP($A643,'Plano de Contas'!#REF!,10,FALSE)),"",VLOOKUP($A643,'Plano de Contas'!#REF!,10,FALSE))</f>
        <v/>
      </c>
      <c r="R643" s="6" t="e">
        <f>VLOOKUP(A643,'Plano de Contas'!#REF!,12,FALSE)</f>
        <v>#REF!</v>
      </c>
      <c r="T643" s="6" t="e">
        <f>VLOOKUP(A643,'Plano de Contas'!#REF!,13,FALSE)</f>
        <v>#REF!</v>
      </c>
    </row>
    <row r="644" spans="1:20" s="5" customFormat="1" x14ac:dyDescent="0.25">
      <c r="A644"/>
      <c r="B644"/>
      <c r="C644"/>
      <c r="D644"/>
      <c r="E644"/>
      <c r="F644"/>
      <c r="G644"/>
      <c r="H644"/>
      <c r="I644"/>
      <c r="J644"/>
      <c r="K644"/>
      <c r="L644" s="1">
        <f t="shared" si="9"/>
        <v>0</v>
      </c>
      <c r="N644" s="6" t="str">
        <f>IF(ISERROR(VLOOKUP($A644,'Plano de Contas'!#REF!,8,FALSE)),"",VLOOKUP($A644,'Plano de Contas'!#REF!,8,FALSE))</f>
        <v/>
      </c>
      <c r="P644" s="6" t="str">
        <f>IF(ISERROR(VLOOKUP($A644,'Plano de Contas'!#REF!,10,FALSE)),"",VLOOKUP($A644,'Plano de Contas'!#REF!,10,FALSE))</f>
        <v/>
      </c>
      <c r="R644" s="6" t="e">
        <f>VLOOKUP(A644,'Plano de Contas'!#REF!,12,FALSE)</f>
        <v>#REF!</v>
      </c>
      <c r="T644" s="6" t="e">
        <f>VLOOKUP(A644,'Plano de Contas'!#REF!,13,FALSE)</f>
        <v>#REF!</v>
      </c>
    </row>
    <row r="645" spans="1:20" s="5" customFormat="1" x14ac:dyDescent="0.25">
      <c r="A645"/>
      <c r="B645"/>
      <c r="C645"/>
      <c r="D645"/>
      <c r="E645"/>
      <c r="F645"/>
      <c r="G645"/>
      <c r="H645"/>
      <c r="I645"/>
      <c r="J645"/>
      <c r="K645"/>
      <c r="L645" s="1">
        <f t="shared" si="9"/>
        <v>0</v>
      </c>
      <c r="N645" s="6" t="str">
        <f>IF(ISERROR(VLOOKUP($A645,'Plano de Contas'!#REF!,8,FALSE)),"",VLOOKUP($A645,'Plano de Contas'!#REF!,8,FALSE))</f>
        <v/>
      </c>
      <c r="P645" s="6" t="str">
        <f>IF(ISERROR(VLOOKUP($A645,'Plano de Contas'!#REF!,10,FALSE)),"",VLOOKUP($A645,'Plano de Contas'!#REF!,10,FALSE))</f>
        <v/>
      </c>
      <c r="R645" s="6" t="e">
        <f>VLOOKUP(A645,'Plano de Contas'!#REF!,12,FALSE)</f>
        <v>#REF!</v>
      </c>
      <c r="T645" s="6" t="e">
        <f>VLOOKUP(A645,'Plano de Contas'!#REF!,13,FALSE)</f>
        <v>#REF!</v>
      </c>
    </row>
    <row r="646" spans="1:20" s="5" customFormat="1" x14ac:dyDescent="0.25">
      <c r="A646"/>
      <c r="B646"/>
      <c r="C646"/>
      <c r="D646"/>
      <c r="E646"/>
      <c r="F646"/>
      <c r="G646"/>
      <c r="H646"/>
      <c r="I646"/>
      <c r="J646"/>
      <c r="K646"/>
      <c r="L646" s="1">
        <f t="shared" si="9"/>
        <v>0</v>
      </c>
      <c r="N646" s="6" t="str">
        <f>IF(ISERROR(VLOOKUP($A646,'Plano de Contas'!#REF!,8,FALSE)),"",VLOOKUP($A646,'Plano de Contas'!#REF!,8,FALSE))</f>
        <v/>
      </c>
      <c r="P646" s="6" t="str">
        <f>IF(ISERROR(VLOOKUP($A646,'Plano de Contas'!#REF!,10,FALSE)),"",VLOOKUP($A646,'Plano de Contas'!#REF!,10,FALSE))</f>
        <v/>
      </c>
      <c r="R646" s="6" t="e">
        <f>VLOOKUP(A646,'Plano de Contas'!#REF!,12,FALSE)</f>
        <v>#REF!</v>
      </c>
      <c r="T646" s="6" t="e">
        <f>VLOOKUP(A646,'Plano de Contas'!#REF!,13,FALSE)</f>
        <v>#REF!</v>
      </c>
    </row>
    <row r="647" spans="1:20" s="5" customFormat="1" x14ac:dyDescent="0.25">
      <c r="A647"/>
      <c r="B647"/>
      <c r="C647"/>
      <c r="D647"/>
      <c r="E647"/>
      <c r="F647"/>
      <c r="G647"/>
      <c r="H647"/>
      <c r="I647"/>
      <c r="J647"/>
      <c r="K647"/>
      <c r="L647" s="1">
        <f t="shared" si="9"/>
        <v>0</v>
      </c>
      <c r="N647" s="6" t="str">
        <f>IF(ISERROR(VLOOKUP($A647,'Plano de Contas'!#REF!,8,FALSE)),"",VLOOKUP($A647,'Plano de Contas'!#REF!,8,FALSE))</f>
        <v/>
      </c>
      <c r="P647" s="6" t="str">
        <f>IF(ISERROR(VLOOKUP($A647,'Plano de Contas'!#REF!,10,FALSE)),"",VLOOKUP($A647,'Plano de Contas'!#REF!,10,FALSE))</f>
        <v/>
      </c>
      <c r="R647" s="6" t="e">
        <f>VLOOKUP(A647,'Plano de Contas'!#REF!,12,FALSE)</f>
        <v>#REF!</v>
      </c>
      <c r="T647" s="6" t="e">
        <f>VLOOKUP(A647,'Plano de Contas'!#REF!,13,FALSE)</f>
        <v>#REF!</v>
      </c>
    </row>
    <row r="648" spans="1:20" s="5" customFormat="1" x14ac:dyDescent="0.25">
      <c r="A648"/>
      <c r="B648"/>
      <c r="C648"/>
      <c r="D648"/>
      <c r="E648"/>
      <c r="F648"/>
      <c r="G648"/>
      <c r="H648"/>
      <c r="I648"/>
      <c r="J648"/>
      <c r="K648"/>
      <c r="L648" s="1">
        <f t="shared" si="9"/>
        <v>0</v>
      </c>
      <c r="N648" s="6" t="str">
        <f>IF(ISERROR(VLOOKUP($A648,'Plano de Contas'!#REF!,8,FALSE)),"",VLOOKUP($A648,'Plano de Contas'!#REF!,8,FALSE))</f>
        <v/>
      </c>
      <c r="P648" s="6" t="str">
        <f>IF(ISERROR(VLOOKUP($A648,'Plano de Contas'!#REF!,10,FALSE)),"",VLOOKUP($A648,'Plano de Contas'!#REF!,10,FALSE))</f>
        <v/>
      </c>
      <c r="R648" s="6" t="e">
        <f>VLOOKUP(A648,'Plano de Contas'!#REF!,12,FALSE)</f>
        <v>#REF!</v>
      </c>
      <c r="T648" s="6" t="e">
        <f>VLOOKUP(A648,'Plano de Contas'!#REF!,13,FALSE)</f>
        <v>#REF!</v>
      </c>
    </row>
    <row r="649" spans="1:20" s="5" customFormat="1" x14ac:dyDescent="0.25">
      <c r="A649"/>
      <c r="B649"/>
      <c r="C649"/>
      <c r="D649"/>
      <c r="E649"/>
      <c r="F649"/>
      <c r="G649"/>
      <c r="H649"/>
      <c r="I649"/>
      <c r="J649"/>
      <c r="K649"/>
      <c r="L649" s="1">
        <f t="shared" si="9"/>
        <v>0</v>
      </c>
      <c r="N649" s="6" t="str">
        <f>IF(ISERROR(VLOOKUP($A649,'Plano de Contas'!#REF!,8,FALSE)),"",VLOOKUP($A649,'Plano de Contas'!#REF!,8,FALSE))</f>
        <v/>
      </c>
      <c r="P649" s="6" t="str">
        <f>IF(ISERROR(VLOOKUP($A649,'Plano de Contas'!#REF!,10,FALSE)),"",VLOOKUP($A649,'Plano de Contas'!#REF!,10,FALSE))</f>
        <v/>
      </c>
      <c r="R649" s="6" t="e">
        <f>VLOOKUP(A649,'Plano de Contas'!#REF!,12,FALSE)</f>
        <v>#REF!</v>
      </c>
      <c r="T649" s="6" t="e">
        <f>VLOOKUP(A649,'Plano de Contas'!#REF!,13,FALSE)</f>
        <v>#REF!</v>
      </c>
    </row>
    <row r="650" spans="1:20" s="5" customFormat="1" x14ac:dyDescent="0.25">
      <c r="A650"/>
      <c r="B650"/>
      <c r="C650"/>
      <c r="D650"/>
      <c r="E650"/>
      <c r="F650"/>
      <c r="G650"/>
      <c r="H650"/>
      <c r="I650"/>
      <c r="J650"/>
      <c r="K650"/>
      <c r="L650" s="1">
        <f t="shared" si="9"/>
        <v>0</v>
      </c>
      <c r="N650" s="6" t="str">
        <f>IF(ISERROR(VLOOKUP($A650,'Plano de Contas'!#REF!,8,FALSE)),"",VLOOKUP($A650,'Plano de Contas'!#REF!,8,FALSE))</f>
        <v/>
      </c>
      <c r="P650" s="6" t="str">
        <f>IF(ISERROR(VLOOKUP($A650,'Plano de Contas'!#REF!,10,FALSE)),"",VLOOKUP($A650,'Plano de Contas'!#REF!,10,FALSE))</f>
        <v/>
      </c>
      <c r="R650" s="6" t="e">
        <f>VLOOKUP(A650,'Plano de Contas'!#REF!,12,FALSE)</f>
        <v>#REF!</v>
      </c>
      <c r="T650" s="6" t="e">
        <f>VLOOKUP(A650,'Plano de Contas'!#REF!,13,FALSE)</f>
        <v>#REF!</v>
      </c>
    </row>
  </sheetData>
  <autoFilter ref="A4:R650" xr:uid="{00000000-0009-0000-0000-000005000000}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M129"/>
  <sheetViews>
    <sheetView workbookViewId="0">
      <selection activeCell="B750" sqref="B750:D750"/>
    </sheetView>
  </sheetViews>
  <sheetFormatPr defaultRowHeight="15" x14ac:dyDescent="0.25"/>
  <cols>
    <col min="5" max="5" width="16.85546875" style="1" bestFit="1" customWidth="1"/>
    <col min="7" max="8" width="15.28515625" style="1" bestFit="1" customWidth="1"/>
    <col min="9" max="9" width="16.85546875" style="1" bestFit="1" customWidth="1"/>
    <col min="11" max="12" width="16.85546875" bestFit="1" customWidth="1"/>
    <col min="13" max="13" width="17.7109375" bestFit="1" customWidth="1"/>
  </cols>
  <sheetData>
    <row r="1" spans="2:13" x14ac:dyDescent="0.25">
      <c r="B1" t="s">
        <v>2369</v>
      </c>
      <c r="C1" t="s">
        <v>42</v>
      </c>
      <c r="E1" s="1">
        <v>2800</v>
      </c>
      <c r="F1" t="s">
        <v>2370</v>
      </c>
      <c r="G1" s="1">
        <v>2800</v>
      </c>
      <c r="H1" s="1">
        <v>5600</v>
      </c>
      <c r="I1" s="1">
        <v>0</v>
      </c>
      <c r="J1" t="s">
        <v>2370</v>
      </c>
      <c r="K1" s="1">
        <f t="shared" ref="K1:K64" si="0">IF(AND(LEFT(C1,1)="1",J1="C"),-I1,IF(AND(LEFT(C1,1)="2",J1="C"),-I1,I1))</f>
        <v>0</v>
      </c>
      <c r="L1" s="1">
        <f>VLOOKUP(C1,'Balancete Dez-2016'!A:H,8,0)</f>
        <v>0</v>
      </c>
      <c r="M1" s="1">
        <f>K1-L1</f>
        <v>0</v>
      </c>
    </row>
    <row r="2" spans="2:13" x14ac:dyDescent="0.25">
      <c r="B2" t="s">
        <v>2369</v>
      </c>
      <c r="C2" t="s">
        <v>48</v>
      </c>
      <c r="E2" s="1">
        <v>324811.92</v>
      </c>
      <c r="F2" t="s">
        <v>2370</v>
      </c>
      <c r="G2" s="1">
        <v>3044613.56</v>
      </c>
      <c r="H2" s="1">
        <v>3839794.72</v>
      </c>
      <c r="I2" s="1">
        <v>470369.24</v>
      </c>
      <c r="J2" t="s">
        <v>2371</v>
      </c>
      <c r="K2" s="1">
        <f t="shared" si="0"/>
        <v>-470369.24</v>
      </c>
      <c r="L2" s="1">
        <f>VLOOKUP(C2,'Balancete Dez-2016'!A:H,8,0)</f>
        <v>63630.76</v>
      </c>
      <c r="M2" s="1">
        <f t="shared" ref="M2:M65" si="1">K2-L2</f>
        <v>-534000</v>
      </c>
    </row>
    <row r="3" spans="2:13" x14ac:dyDescent="0.25">
      <c r="B3" t="s">
        <v>2369</v>
      </c>
      <c r="C3" t="s">
        <v>62</v>
      </c>
      <c r="E3" s="1">
        <v>236159.01</v>
      </c>
      <c r="F3" t="s">
        <v>2370</v>
      </c>
      <c r="G3" s="1">
        <v>978288.72</v>
      </c>
      <c r="H3" s="1">
        <v>722994.24</v>
      </c>
      <c r="I3" s="1">
        <v>491453.49</v>
      </c>
      <c r="J3" t="s">
        <v>2370</v>
      </c>
      <c r="K3" s="1">
        <f t="shared" si="0"/>
        <v>491453.49</v>
      </c>
      <c r="L3" s="1">
        <f>VLOOKUP(C3,'Balancete Dez-2016'!A:H,8,0)</f>
        <v>491453.49</v>
      </c>
      <c r="M3" s="1">
        <f t="shared" si="1"/>
        <v>0</v>
      </c>
    </row>
    <row r="4" spans="2:13" x14ac:dyDescent="0.25">
      <c r="B4" t="s">
        <v>2369</v>
      </c>
      <c r="C4" t="s">
        <v>64</v>
      </c>
      <c r="E4" s="1">
        <v>7261.31</v>
      </c>
      <c r="F4" t="s">
        <v>2370</v>
      </c>
      <c r="G4" s="1">
        <v>0</v>
      </c>
      <c r="H4" s="1">
        <v>39</v>
      </c>
      <c r="I4" s="1">
        <v>7222.31</v>
      </c>
      <c r="J4" t="s">
        <v>2370</v>
      </c>
      <c r="K4" s="1">
        <f t="shared" si="0"/>
        <v>7222.31</v>
      </c>
      <c r="L4" s="1">
        <f>VLOOKUP(C4,'Balancete Dez-2016'!A:H,8,0)</f>
        <v>7222.31</v>
      </c>
      <c r="M4" s="1">
        <f t="shared" si="1"/>
        <v>0</v>
      </c>
    </row>
    <row r="5" spans="2:13" x14ac:dyDescent="0.25">
      <c r="B5" t="s">
        <v>2369</v>
      </c>
      <c r="C5" t="s">
        <v>66</v>
      </c>
      <c r="E5" s="1">
        <v>4191.04</v>
      </c>
      <c r="F5" t="s">
        <v>2370</v>
      </c>
      <c r="G5" s="1">
        <v>1433683.28</v>
      </c>
      <c r="H5" s="1">
        <v>1433722.28</v>
      </c>
      <c r="I5" s="1">
        <v>4152.04</v>
      </c>
      <c r="J5" t="s">
        <v>2370</v>
      </c>
      <c r="K5" s="1">
        <f t="shared" si="0"/>
        <v>4152.04</v>
      </c>
      <c r="L5" s="1">
        <f>VLOOKUP(C5,'Balancete Dez-2016'!A:H,8,0)</f>
        <v>4152.04</v>
      </c>
      <c r="M5" s="1">
        <f t="shared" si="1"/>
        <v>0</v>
      </c>
    </row>
    <row r="6" spans="2:13" x14ac:dyDescent="0.25">
      <c r="B6" t="s">
        <v>2369</v>
      </c>
      <c r="C6" t="s">
        <v>76</v>
      </c>
      <c r="E6" s="1">
        <v>37022.35</v>
      </c>
      <c r="F6" t="s">
        <v>2371</v>
      </c>
      <c r="G6" s="1">
        <v>15685092.710000001</v>
      </c>
      <c r="H6" s="1">
        <v>14275033.65</v>
      </c>
      <c r="I6" s="1">
        <v>1373036.71</v>
      </c>
      <c r="J6" t="s">
        <v>2370</v>
      </c>
      <c r="K6" s="1">
        <f t="shared" si="0"/>
        <v>1373036.71</v>
      </c>
      <c r="L6" s="1">
        <f>VLOOKUP(C6,'Balancete Dez-2016'!A:H,8,0)</f>
        <v>1373036.71</v>
      </c>
      <c r="M6" s="1">
        <f t="shared" si="1"/>
        <v>0</v>
      </c>
    </row>
    <row r="7" spans="2:13" x14ac:dyDescent="0.25">
      <c r="B7" t="s">
        <v>2369</v>
      </c>
      <c r="C7" t="s">
        <v>80</v>
      </c>
      <c r="E7" s="1">
        <v>236176.7</v>
      </c>
      <c r="F7" t="s">
        <v>2370</v>
      </c>
      <c r="G7" s="1">
        <v>2726797.92</v>
      </c>
      <c r="H7" s="1">
        <v>2828868.17</v>
      </c>
      <c r="I7" s="1">
        <v>134106.45000000001</v>
      </c>
      <c r="J7" t="s">
        <v>2370</v>
      </c>
      <c r="K7" s="1">
        <f t="shared" si="0"/>
        <v>134106.45000000001</v>
      </c>
      <c r="L7" s="1">
        <f>VLOOKUP(C7,'Balancete Dez-2016'!A:H,8,0)</f>
        <v>134106.45000000001</v>
      </c>
      <c r="M7" s="1">
        <f t="shared" si="1"/>
        <v>0</v>
      </c>
    </row>
    <row r="8" spans="2:13" x14ac:dyDescent="0.25">
      <c r="B8" t="s">
        <v>2369</v>
      </c>
      <c r="C8" t="s">
        <v>84</v>
      </c>
      <c r="E8" s="1">
        <v>3000</v>
      </c>
      <c r="F8" t="s">
        <v>2371</v>
      </c>
      <c r="G8" s="1">
        <v>39258.6</v>
      </c>
      <c r="H8" s="1">
        <v>38758.6</v>
      </c>
      <c r="I8" s="1">
        <v>2500</v>
      </c>
      <c r="J8" t="s">
        <v>2371</v>
      </c>
      <c r="K8" s="1">
        <f t="shared" si="0"/>
        <v>-2500</v>
      </c>
      <c r="L8" s="1">
        <f>VLOOKUP(C8,'Balancete Dez-2016'!A:H,8,0)</f>
        <v>-2500</v>
      </c>
      <c r="M8" s="1">
        <f t="shared" si="1"/>
        <v>0</v>
      </c>
    </row>
    <row r="9" spans="2:13" x14ac:dyDescent="0.25">
      <c r="B9" t="s">
        <v>2369</v>
      </c>
      <c r="C9" t="s">
        <v>989</v>
      </c>
      <c r="E9" s="1">
        <v>1529814.23</v>
      </c>
      <c r="F9" t="s">
        <v>2370</v>
      </c>
      <c r="G9" s="1">
        <v>1616597.73</v>
      </c>
      <c r="H9" s="1">
        <v>1446288.34</v>
      </c>
      <c r="I9" s="1">
        <v>1700123.62</v>
      </c>
      <c r="J9" t="s">
        <v>2370</v>
      </c>
      <c r="K9" s="1">
        <f t="shared" si="0"/>
        <v>1700123.62</v>
      </c>
      <c r="L9" s="1">
        <f>VLOOKUP(C9,'Balancete Dez-2016'!A:H,8,0)</f>
        <v>1700123.62</v>
      </c>
      <c r="M9" s="1">
        <f t="shared" si="1"/>
        <v>0</v>
      </c>
    </row>
    <row r="10" spans="2:13" x14ac:dyDescent="0.25">
      <c r="B10" t="s">
        <v>2369</v>
      </c>
      <c r="C10" t="s">
        <v>90</v>
      </c>
      <c r="E10" s="1">
        <v>5005105.4800000004</v>
      </c>
      <c r="F10" t="s">
        <v>2370</v>
      </c>
      <c r="G10" s="1">
        <v>330443.64</v>
      </c>
      <c r="H10" s="1">
        <v>0</v>
      </c>
      <c r="I10" s="1">
        <v>5335549.12</v>
      </c>
      <c r="J10" t="s">
        <v>2370</v>
      </c>
      <c r="K10" s="1">
        <f t="shared" si="0"/>
        <v>5335549.12</v>
      </c>
      <c r="L10" s="1">
        <f>VLOOKUP(C10,'Balancete Dez-2016'!A:H,8,0)</f>
        <v>5335549.12</v>
      </c>
      <c r="M10" s="1">
        <f t="shared" si="1"/>
        <v>0</v>
      </c>
    </row>
    <row r="11" spans="2:13" x14ac:dyDescent="0.25">
      <c r="B11" t="s">
        <v>2369</v>
      </c>
      <c r="C11" t="s">
        <v>1131</v>
      </c>
      <c r="E11" s="1">
        <v>14509287.050000001</v>
      </c>
      <c r="F11" t="s">
        <v>2370</v>
      </c>
      <c r="G11" s="1">
        <v>1332208.43</v>
      </c>
      <c r="H11" s="1">
        <v>33265.74</v>
      </c>
      <c r="I11" s="1">
        <v>15808229.74</v>
      </c>
      <c r="J11" t="s">
        <v>2370</v>
      </c>
      <c r="K11" s="1">
        <f t="shared" si="0"/>
        <v>15808229.74</v>
      </c>
      <c r="L11" s="1">
        <f>VLOOKUP(C11,'Balancete Dez-2016'!A:H,8,0)</f>
        <v>15808229.74</v>
      </c>
      <c r="M11" s="1">
        <f t="shared" si="1"/>
        <v>0</v>
      </c>
    </row>
    <row r="12" spans="2:13" x14ac:dyDescent="0.25">
      <c r="B12" t="s">
        <v>2369</v>
      </c>
      <c r="C12" t="s">
        <v>94</v>
      </c>
      <c r="E12" s="1">
        <v>128541.06</v>
      </c>
      <c r="F12" t="s">
        <v>2370</v>
      </c>
      <c r="G12" s="1">
        <v>95412.82</v>
      </c>
      <c r="H12" s="1">
        <v>0</v>
      </c>
      <c r="I12" s="1">
        <v>223953.88</v>
      </c>
      <c r="J12" t="s">
        <v>2370</v>
      </c>
      <c r="K12" s="1">
        <f t="shared" si="0"/>
        <v>223953.88</v>
      </c>
      <c r="L12" s="1">
        <f>VLOOKUP(C12,'Balancete Dez-2016'!A:H,8,0)</f>
        <v>223953.88</v>
      </c>
      <c r="M12" s="1">
        <f t="shared" si="1"/>
        <v>0</v>
      </c>
    </row>
    <row r="13" spans="2:13" x14ac:dyDescent="0.25">
      <c r="B13" t="s">
        <v>2369</v>
      </c>
      <c r="C13" t="s">
        <v>96</v>
      </c>
      <c r="E13" s="1">
        <v>7564335.04</v>
      </c>
      <c r="F13" t="s">
        <v>2370</v>
      </c>
      <c r="G13" s="1">
        <v>235827.42</v>
      </c>
      <c r="H13" s="1">
        <v>2234188.2599999998</v>
      </c>
      <c r="I13" s="1">
        <v>5565974.2000000002</v>
      </c>
      <c r="J13" t="s">
        <v>2370</v>
      </c>
      <c r="K13" s="1">
        <f t="shared" si="0"/>
        <v>5565974.2000000002</v>
      </c>
      <c r="L13" s="1">
        <f>VLOOKUP(C13,'Balancete Dez-2016'!A:H,8,0)</f>
        <v>5031647.99</v>
      </c>
      <c r="M13" s="1">
        <f t="shared" si="1"/>
        <v>534326.21</v>
      </c>
    </row>
    <row r="14" spans="2:13" x14ac:dyDescent="0.25">
      <c r="B14" t="s">
        <v>2369</v>
      </c>
      <c r="C14" t="s">
        <v>102</v>
      </c>
      <c r="E14" s="1">
        <v>17961018.609999999</v>
      </c>
      <c r="F14" t="s">
        <v>2370</v>
      </c>
      <c r="G14" s="1">
        <v>641063.14</v>
      </c>
      <c r="H14" s="1">
        <v>3341818.39</v>
      </c>
      <c r="I14" s="1">
        <v>15260263.359999999</v>
      </c>
      <c r="J14" t="s">
        <v>2370</v>
      </c>
      <c r="K14" s="1">
        <f t="shared" si="0"/>
        <v>15260263.359999999</v>
      </c>
      <c r="L14" s="1">
        <f>VLOOKUP(C14,'Balancete Dez-2016'!A:H,8,0)</f>
        <v>15260263.359999999</v>
      </c>
      <c r="M14" s="1">
        <f t="shared" si="1"/>
        <v>0</v>
      </c>
    </row>
    <row r="15" spans="2:13" x14ac:dyDescent="0.25">
      <c r="B15" t="s">
        <v>2369</v>
      </c>
      <c r="C15" t="s">
        <v>106</v>
      </c>
      <c r="E15" s="1">
        <v>24341692.289999999</v>
      </c>
      <c r="F15" t="s">
        <v>2370</v>
      </c>
      <c r="G15" s="1">
        <v>267866.8</v>
      </c>
      <c r="H15" s="1">
        <v>39319.839999999997</v>
      </c>
      <c r="I15" s="1">
        <v>24570239.25</v>
      </c>
      <c r="J15" t="s">
        <v>2370</v>
      </c>
      <c r="K15" s="1">
        <f t="shared" si="0"/>
        <v>24570239.25</v>
      </c>
      <c r="L15" s="1">
        <f>VLOOKUP(C15,'Balancete Dez-2016'!A:H,8,0)</f>
        <v>24570239.25</v>
      </c>
      <c r="M15" s="1">
        <f t="shared" si="1"/>
        <v>0</v>
      </c>
    </row>
    <row r="16" spans="2:13" x14ac:dyDescent="0.25">
      <c r="B16" t="s">
        <v>2369</v>
      </c>
      <c r="C16" t="s">
        <v>108</v>
      </c>
      <c r="E16" s="1">
        <v>2248535.58</v>
      </c>
      <c r="F16" t="s">
        <v>2370</v>
      </c>
      <c r="G16" s="1">
        <v>1228.68</v>
      </c>
      <c r="H16" s="1">
        <v>2241447.1</v>
      </c>
      <c r="I16" s="1">
        <v>8317.16</v>
      </c>
      <c r="J16" t="s">
        <v>2370</v>
      </c>
      <c r="K16" s="1">
        <f t="shared" si="0"/>
        <v>8317.16</v>
      </c>
      <c r="L16" s="1">
        <f>VLOOKUP(C16,'Balancete Dez-2016'!A:H,8,0)</f>
        <v>8317.16</v>
      </c>
      <c r="M16" s="1">
        <f t="shared" si="1"/>
        <v>0</v>
      </c>
    </row>
    <row r="17" spans="2:13" x14ac:dyDescent="0.25">
      <c r="B17" t="s">
        <v>2369</v>
      </c>
      <c r="C17" t="s">
        <v>1550</v>
      </c>
      <c r="E17" s="1">
        <v>5684327.25</v>
      </c>
      <c r="F17" t="s">
        <v>2370</v>
      </c>
      <c r="G17" s="1">
        <v>1014923.11</v>
      </c>
      <c r="H17" s="1">
        <v>0</v>
      </c>
      <c r="I17" s="1">
        <v>6699250.3600000003</v>
      </c>
      <c r="J17" t="s">
        <v>2370</v>
      </c>
      <c r="K17" s="1">
        <f t="shared" si="0"/>
        <v>6699250.3600000003</v>
      </c>
      <c r="L17" s="1">
        <f>VLOOKUP(C17,'Balancete Dez-2016'!A:H,8,0)</f>
        <v>6699250.3600000003</v>
      </c>
      <c r="M17" s="1">
        <f t="shared" si="1"/>
        <v>0</v>
      </c>
    </row>
    <row r="18" spans="2:13" x14ac:dyDescent="0.25">
      <c r="B18" t="s">
        <v>2369</v>
      </c>
      <c r="C18" t="s">
        <v>1133</v>
      </c>
      <c r="E18" s="1">
        <v>152415.85</v>
      </c>
      <c r="F18" t="s">
        <v>2370</v>
      </c>
      <c r="G18" s="1">
        <v>3097.8</v>
      </c>
      <c r="H18" s="1">
        <v>697</v>
      </c>
      <c r="I18" s="1">
        <v>154816.65</v>
      </c>
      <c r="J18" t="s">
        <v>2370</v>
      </c>
      <c r="K18" s="1">
        <f t="shared" si="0"/>
        <v>154816.65</v>
      </c>
      <c r="L18" s="1">
        <f>VLOOKUP(C18,'Balancete Dez-2016'!A:H,8,0)</f>
        <v>154816.65</v>
      </c>
      <c r="M18" s="1">
        <f t="shared" si="1"/>
        <v>0</v>
      </c>
    </row>
    <row r="19" spans="2:13" x14ac:dyDescent="0.25">
      <c r="B19" t="s">
        <v>2369</v>
      </c>
      <c r="C19" t="s">
        <v>1135</v>
      </c>
      <c r="E19" s="1">
        <v>206209.58</v>
      </c>
      <c r="F19" t="s">
        <v>2370</v>
      </c>
      <c r="G19" s="1">
        <v>17.510000000000002</v>
      </c>
      <c r="H19" s="1">
        <v>3.94</v>
      </c>
      <c r="I19" s="1">
        <v>206223.15</v>
      </c>
      <c r="J19" t="s">
        <v>2370</v>
      </c>
      <c r="K19" s="1">
        <f t="shared" si="0"/>
        <v>206223.15</v>
      </c>
      <c r="L19" s="1">
        <f>VLOOKUP(C19,'Balancete Dez-2016'!A:H,8,0)</f>
        <v>206223.15</v>
      </c>
      <c r="M19" s="1">
        <f t="shared" si="1"/>
        <v>0</v>
      </c>
    </row>
    <row r="20" spans="2:13" x14ac:dyDescent="0.25">
      <c r="B20" t="s">
        <v>2369</v>
      </c>
      <c r="C20" t="s">
        <v>1137</v>
      </c>
      <c r="E20" s="1">
        <v>18658.62</v>
      </c>
      <c r="F20" t="s">
        <v>2370</v>
      </c>
      <c r="G20" s="1">
        <v>367.21</v>
      </c>
      <c r="H20" s="1">
        <v>82.61</v>
      </c>
      <c r="I20" s="1">
        <v>18943.22</v>
      </c>
      <c r="J20" t="s">
        <v>2370</v>
      </c>
      <c r="K20" s="1">
        <f t="shared" si="0"/>
        <v>18943.22</v>
      </c>
      <c r="L20" s="1">
        <f>VLOOKUP(C20,'Balancete Dez-2016'!A:H,8,0)</f>
        <v>18943.22</v>
      </c>
      <c r="M20" s="1">
        <f t="shared" si="1"/>
        <v>0</v>
      </c>
    </row>
    <row r="21" spans="2:13" x14ac:dyDescent="0.25">
      <c r="B21" t="s">
        <v>2369</v>
      </c>
      <c r="C21" t="s">
        <v>1143</v>
      </c>
      <c r="E21" s="1">
        <v>14972.48</v>
      </c>
      <c r="F21" t="s">
        <v>2370</v>
      </c>
      <c r="G21" s="1">
        <v>0</v>
      </c>
      <c r="H21" s="1">
        <v>14972.48</v>
      </c>
      <c r="I21" s="1">
        <v>0</v>
      </c>
      <c r="J21" t="s">
        <v>2370</v>
      </c>
      <c r="K21" s="1">
        <f t="shared" si="0"/>
        <v>0</v>
      </c>
      <c r="L21" s="1">
        <f>VLOOKUP(C21,'Balancete Dez-2016'!A:H,8,0)</f>
        <v>0</v>
      </c>
      <c r="M21" s="1">
        <f t="shared" si="1"/>
        <v>0</v>
      </c>
    </row>
    <row r="22" spans="2:13" x14ac:dyDescent="0.25">
      <c r="B22" t="s">
        <v>2369</v>
      </c>
      <c r="C22" t="s">
        <v>1561</v>
      </c>
      <c r="E22" s="1">
        <v>6452.41</v>
      </c>
      <c r="F22" t="s">
        <v>2370</v>
      </c>
      <c r="G22" s="1">
        <v>86.52</v>
      </c>
      <c r="H22" s="1">
        <v>0</v>
      </c>
      <c r="I22" s="1">
        <v>6538.93</v>
      </c>
      <c r="J22" t="s">
        <v>2370</v>
      </c>
      <c r="K22" s="1">
        <f t="shared" si="0"/>
        <v>6538.93</v>
      </c>
      <c r="L22" s="1">
        <f>VLOOKUP(C22,'Balancete Dez-2016'!A:H,8,0)</f>
        <v>6538.93</v>
      </c>
      <c r="M22" s="1">
        <f t="shared" si="1"/>
        <v>0</v>
      </c>
    </row>
    <row r="23" spans="2:13" x14ac:dyDescent="0.25">
      <c r="B23" t="s">
        <v>2369</v>
      </c>
      <c r="C23" t="s">
        <v>114</v>
      </c>
      <c r="E23" s="1">
        <v>5935641.0800000001</v>
      </c>
      <c r="F23" t="s">
        <v>2370</v>
      </c>
      <c r="G23" s="1">
        <v>14792147.199999999</v>
      </c>
      <c r="H23" s="1">
        <v>11552668.51</v>
      </c>
      <c r="I23" s="1">
        <v>9175119.7699999996</v>
      </c>
      <c r="J23" t="s">
        <v>2370</v>
      </c>
      <c r="K23" s="1">
        <f t="shared" si="0"/>
        <v>9175119.7699999996</v>
      </c>
      <c r="L23" s="1">
        <f>VLOOKUP(C23,'Balancete Dez-2016'!A:H,8,0)</f>
        <v>9175119.7699999996</v>
      </c>
      <c r="M23" s="1">
        <f t="shared" si="1"/>
        <v>0</v>
      </c>
    </row>
    <row r="24" spans="2:13" x14ac:dyDescent="0.25">
      <c r="B24" t="s">
        <v>2369</v>
      </c>
      <c r="C24" t="s">
        <v>995</v>
      </c>
      <c r="E24" s="1">
        <v>1395908.06</v>
      </c>
      <c r="F24" t="s">
        <v>2371</v>
      </c>
      <c r="G24" s="1">
        <v>0</v>
      </c>
      <c r="H24" s="1">
        <v>634494.28</v>
      </c>
      <c r="I24" s="1">
        <v>2030402.34</v>
      </c>
      <c r="J24" t="s">
        <v>2371</v>
      </c>
      <c r="K24" s="1">
        <f t="shared" si="0"/>
        <v>-2030402.34</v>
      </c>
      <c r="L24" s="1">
        <f>VLOOKUP(C24,'Balancete Dez-2016'!A:H,8,0)</f>
        <v>-2030402.34</v>
      </c>
      <c r="M24" s="1">
        <f t="shared" si="1"/>
        <v>0</v>
      </c>
    </row>
    <row r="25" spans="2:13" x14ac:dyDescent="0.25">
      <c r="B25" t="s">
        <v>2369</v>
      </c>
      <c r="C25" t="s">
        <v>116</v>
      </c>
      <c r="E25" s="1">
        <v>783231.51</v>
      </c>
      <c r="F25" t="s">
        <v>2371</v>
      </c>
      <c r="G25" s="1">
        <v>0</v>
      </c>
      <c r="H25" s="1">
        <v>989437.92</v>
      </c>
      <c r="I25" s="1">
        <v>1772669.43</v>
      </c>
      <c r="J25" t="s">
        <v>2371</v>
      </c>
      <c r="K25" s="1">
        <f t="shared" si="0"/>
        <v>-1772669.43</v>
      </c>
      <c r="L25" s="1">
        <f>VLOOKUP(C25,'Balancete Dez-2016'!A:H,8,0)</f>
        <v>-1772669.43</v>
      </c>
      <c r="M25" s="1">
        <f t="shared" si="1"/>
        <v>0</v>
      </c>
    </row>
    <row r="26" spans="2:13" x14ac:dyDescent="0.25">
      <c r="B26" t="s">
        <v>2369</v>
      </c>
      <c r="C26" t="s">
        <v>124</v>
      </c>
      <c r="E26" s="1">
        <v>297530.43</v>
      </c>
      <c r="F26" t="s">
        <v>2370</v>
      </c>
      <c r="G26" s="1">
        <v>57312.23</v>
      </c>
      <c r="H26" s="1">
        <v>53306.93</v>
      </c>
      <c r="I26" s="1">
        <v>301535.73</v>
      </c>
      <c r="J26" t="s">
        <v>2370</v>
      </c>
      <c r="K26" s="1">
        <f t="shared" si="0"/>
        <v>301535.73</v>
      </c>
      <c r="L26" s="1">
        <f>VLOOKUP(C26,'Balancete Dez-2016'!A:H,8,0)</f>
        <v>301535.73</v>
      </c>
      <c r="M26" s="1">
        <f t="shared" si="1"/>
        <v>0</v>
      </c>
    </row>
    <row r="27" spans="2:13" x14ac:dyDescent="0.25">
      <c r="B27" t="s">
        <v>2369</v>
      </c>
      <c r="C27" t="s">
        <v>126</v>
      </c>
      <c r="E27" s="1">
        <v>29049.200000000001</v>
      </c>
      <c r="F27" t="s">
        <v>2370</v>
      </c>
      <c r="G27" s="1">
        <v>514281.52</v>
      </c>
      <c r="H27" s="1">
        <v>261097.01</v>
      </c>
      <c r="I27" s="1">
        <v>282233.71000000002</v>
      </c>
      <c r="J27" t="s">
        <v>2370</v>
      </c>
      <c r="K27" s="1">
        <f t="shared" si="0"/>
        <v>282233.71000000002</v>
      </c>
      <c r="L27" s="1">
        <f>VLOOKUP(C27,'Balancete Dez-2016'!A:H,8,0)</f>
        <v>282233.71000000002</v>
      </c>
      <c r="M27" s="1">
        <f t="shared" si="1"/>
        <v>0</v>
      </c>
    </row>
    <row r="28" spans="2:13" x14ac:dyDescent="0.25">
      <c r="B28" t="s">
        <v>2369</v>
      </c>
      <c r="C28" t="s">
        <v>132</v>
      </c>
      <c r="E28" s="1">
        <v>17782.62</v>
      </c>
      <c r="F28" t="s">
        <v>2370</v>
      </c>
      <c r="G28" s="1">
        <v>3518.63</v>
      </c>
      <c r="H28" s="1">
        <v>4900</v>
      </c>
      <c r="I28" s="1">
        <v>16401.25</v>
      </c>
      <c r="J28" t="s">
        <v>2370</v>
      </c>
      <c r="K28" s="1">
        <f t="shared" si="0"/>
        <v>16401.25</v>
      </c>
      <c r="L28" s="1">
        <f>VLOOKUP(C28,'Balancete Dez-2016'!A:H,8,0)</f>
        <v>16401.25</v>
      </c>
      <c r="M28" s="1">
        <f t="shared" si="1"/>
        <v>0</v>
      </c>
    </row>
    <row r="29" spans="2:13" x14ac:dyDescent="0.25">
      <c r="B29" t="s">
        <v>2369</v>
      </c>
      <c r="C29" t="s">
        <v>136</v>
      </c>
      <c r="E29" s="1">
        <v>782164.49</v>
      </c>
      <c r="F29" t="s">
        <v>2370</v>
      </c>
      <c r="G29" s="1">
        <v>27342.65</v>
      </c>
      <c r="H29" s="1">
        <v>809507.14</v>
      </c>
      <c r="I29" s="1">
        <v>0</v>
      </c>
      <c r="J29" t="s">
        <v>2370</v>
      </c>
      <c r="K29" s="1">
        <f t="shared" si="0"/>
        <v>0</v>
      </c>
      <c r="L29" s="1">
        <f>VLOOKUP(C29,'Balancete Dez-2016'!A:H,8,0)</f>
        <v>0</v>
      </c>
      <c r="M29" s="1">
        <f t="shared" si="1"/>
        <v>0</v>
      </c>
    </row>
    <row r="30" spans="2:13" x14ac:dyDescent="0.25">
      <c r="B30" t="s">
        <v>2369</v>
      </c>
      <c r="C30" t="s">
        <v>138</v>
      </c>
      <c r="E30" s="1">
        <v>242300.28</v>
      </c>
      <c r="F30" t="s">
        <v>2370</v>
      </c>
      <c r="G30" s="1">
        <v>2077.4</v>
      </c>
      <c r="H30" s="1">
        <v>213.89</v>
      </c>
      <c r="I30" s="1">
        <v>244163.79</v>
      </c>
      <c r="J30" t="s">
        <v>2370</v>
      </c>
      <c r="K30" s="1">
        <f t="shared" si="0"/>
        <v>244163.79</v>
      </c>
      <c r="L30" s="1">
        <f>VLOOKUP(C30,'Balancete Dez-2016'!A:H,8,0)</f>
        <v>244163.79</v>
      </c>
      <c r="M30" s="1">
        <f t="shared" si="1"/>
        <v>0</v>
      </c>
    </row>
    <row r="31" spans="2:13" x14ac:dyDescent="0.25">
      <c r="B31" t="s">
        <v>2369</v>
      </c>
      <c r="C31" t="s">
        <v>140</v>
      </c>
      <c r="E31" s="1">
        <v>6815.15</v>
      </c>
      <c r="F31" t="s">
        <v>2370</v>
      </c>
      <c r="G31" s="1">
        <v>5230.1499999999996</v>
      </c>
      <c r="H31" s="1">
        <v>5230.1499999999996</v>
      </c>
      <c r="I31" s="1">
        <v>6815.15</v>
      </c>
      <c r="J31" t="s">
        <v>2370</v>
      </c>
      <c r="K31" s="1">
        <f t="shared" si="0"/>
        <v>6815.15</v>
      </c>
      <c r="L31" s="1">
        <f>VLOOKUP(C31,'Balancete Dez-2016'!A:H,8,0)</f>
        <v>6815.15</v>
      </c>
      <c r="M31" s="1">
        <f t="shared" si="1"/>
        <v>0</v>
      </c>
    </row>
    <row r="32" spans="2:13" x14ac:dyDescent="0.25">
      <c r="B32" t="s">
        <v>2369</v>
      </c>
      <c r="C32" t="s">
        <v>142</v>
      </c>
      <c r="E32" s="1">
        <v>3997.77</v>
      </c>
      <c r="F32" t="s">
        <v>2370</v>
      </c>
      <c r="G32" s="1">
        <v>24139.22</v>
      </c>
      <c r="H32" s="1">
        <v>24139.22</v>
      </c>
      <c r="I32" s="1">
        <v>3997.77</v>
      </c>
      <c r="J32" t="s">
        <v>2370</v>
      </c>
      <c r="K32" s="1">
        <f t="shared" si="0"/>
        <v>3997.77</v>
      </c>
      <c r="L32" s="1">
        <f>VLOOKUP(C32,'Balancete Dez-2016'!A:H,8,0)</f>
        <v>3997.77</v>
      </c>
      <c r="M32" s="1">
        <f t="shared" si="1"/>
        <v>0</v>
      </c>
    </row>
    <row r="33" spans="2:13" x14ac:dyDescent="0.25">
      <c r="B33" t="s">
        <v>2369</v>
      </c>
      <c r="C33" t="s">
        <v>144</v>
      </c>
      <c r="E33" s="1">
        <v>2718521.22</v>
      </c>
      <c r="F33" t="s">
        <v>2370</v>
      </c>
      <c r="G33" s="1">
        <v>38622.769999999997</v>
      </c>
      <c r="H33" s="1">
        <v>2757143.99</v>
      </c>
      <c r="I33" s="1">
        <v>0</v>
      </c>
      <c r="J33" t="s">
        <v>2370</v>
      </c>
      <c r="K33" s="1">
        <f t="shared" si="0"/>
        <v>0</v>
      </c>
      <c r="L33" s="1">
        <f>VLOOKUP(C33,'Balancete Dez-2016'!A:H,8,0)</f>
        <v>0</v>
      </c>
      <c r="M33" s="1">
        <f t="shared" si="1"/>
        <v>0</v>
      </c>
    </row>
    <row r="34" spans="2:13" x14ac:dyDescent="0.25">
      <c r="B34" t="s">
        <v>2369</v>
      </c>
      <c r="C34" t="s">
        <v>148</v>
      </c>
      <c r="E34" s="1">
        <v>566358.34</v>
      </c>
      <c r="F34" t="s">
        <v>2370</v>
      </c>
      <c r="G34" s="1">
        <v>8046.37</v>
      </c>
      <c r="H34" s="1">
        <v>574404.71</v>
      </c>
      <c r="I34" s="1">
        <v>0</v>
      </c>
      <c r="J34" t="s">
        <v>2370</v>
      </c>
      <c r="K34" s="1">
        <f t="shared" si="0"/>
        <v>0</v>
      </c>
      <c r="L34" s="1">
        <f>VLOOKUP(C34,'Balancete Dez-2016'!A:H,8,0)</f>
        <v>0</v>
      </c>
      <c r="M34" s="1">
        <f t="shared" si="1"/>
        <v>0</v>
      </c>
    </row>
    <row r="35" spans="2:13" x14ac:dyDescent="0.25">
      <c r="B35" t="s">
        <v>2369</v>
      </c>
      <c r="C35" t="s">
        <v>172</v>
      </c>
      <c r="E35" s="1">
        <v>1007.74</v>
      </c>
      <c r="F35" t="s">
        <v>2370</v>
      </c>
      <c r="G35" s="1">
        <v>0</v>
      </c>
      <c r="H35" s="1">
        <v>1007.74</v>
      </c>
      <c r="I35" s="1">
        <v>0</v>
      </c>
      <c r="J35" t="s">
        <v>2370</v>
      </c>
      <c r="K35" s="1">
        <f t="shared" si="0"/>
        <v>0</v>
      </c>
      <c r="L35" s="1">
        <f>VLOOKUP(C35,'Balancete Dez-2016'!A:H,8,0)</f>
        <v>0</v>
      </c>
      <c r="M35" s="1">
        <f t="shared" si="1"/>
        <v>0</v>
      </c>
    </row>
    <row r="36" spans="2:13" x14ac:dyDescent="0.25">
      <c r="B36" t="s">
        <v>2369</v>
      </c>
      <c r="C36" t="s">
        <v>174</v>
      </c>
      <c r="E36" s="1">
        <v>35717.19</v>
      </c>
      <c r="F36" t="s">
        <v>2370</v>
      </c>
      <c r="G36" s="1">
        <v>0</v>
      </c>
      <c r="H36" s="1">
        <v>20954.7</v>
      </c>
      <c r="I36" s="1">
        <v>14762.49</v>
      </c>
      <c r="J36" t="s">
        <v>2370</v>
      </c>
      <c r="K36" s="1">
        <f t="shared" si="0"/>
        <v>14762.49</v>
      </c>
      <c r="L36" s="1">
        <f>VLOOKUP(C36,'Balancete Dez-2016'!A:H,8,0)</f>
        <v>14762.49</v>
      </c>
      <c r="M36" s="1">
        <f t="shared" si="1"/>
        <v>0</v>
      </c>
    </row>
    <row r="37" spans="2:13" x14ac:dyDescent="0.25">
      <c r="B37" t="s">
        <v>2369</v>
      </c>
      <c r="C37" t="s">
        <v>176</v>
      </c>
      <c r="E37" s="1">
        <v>3922.66</v>
      </c>
      <c r="F37" t="s">
        <v>2370</v>
      </c>
      <c r="G37" s="1">
        <v>0</v>
      </c>
      <c r="H37" s="1">
        <v>3922.66</v>
      </c>
      <c r="I37" s="1">
        <v>0</v>
      </c>
      <c r="J37" t="s">
        <v>2370</v>
      </c>
      <c r="K37" s="1">
        <f t="shared" si="0"/>
        <v>0</v>
      </c>
      <c r="L37" s="1">
        <f>VLOOKUP(C37,'Balancete Dez-2016'!A:H,8,0)</f>
        <v>0</v>
      </c>
      <c r="M37" s="1">
        <f t="shared" si="1"/>
        <v>0</v>
      </c>
    </row>
    <row r="38" spans="2:13" x14ac:dyDescent="0.25">
      <c r="B38" t="s">
        <v>2369</v>
      </c>
      <c r="C38" t="s">
        <v>1152</v>
      </c>
      <c r="E38" s="1">
        <v>272597.86</v>
      </c>
      <c r="F38" t="s">
        <v>2370</v>
      </c>
      <c r="G38" s="1">
        <v>31524.5</v>
      </c>
      <c r="H38" s="1">
        <v>304122.36</v>
      </c>
      <c r="I38" s="1">
        <v>0</v>
      </c>
      <c r="J38" t="s">
        <v>2370</v>
      </c>
      <c r="K38" s="1">
        <f t="shared" si="0"/>
        <v>0</v>
      </c>
      <c r="L38" s="1">
        <f>VLOOKUP(C38,'Balancete Dez-2016'!A:H,8,0)</f>
        <v>0</v>
      </c>
      <c r="M38" s="1">
        <f t="shared" si="1"/>
        <v>0</v>
      </c>
    </row>
    <row r="39" spans="2:13" x14ac:dyDescent="0.25">
      <c r="B39" t="s">
        <v>2369</v>
      </c>
      <c r="C39" t="s">
        <v>1154</v>
      </c>
      <c r="E39" s="1">
        <v>212416.4</v>
      </c>
      <c r="F39" t="s">
        <v>2370</v>
      </c>
      <c r="G39" s="1">
        <v>82764.52</v>
      </c>
      <c r="H39" s="1">
        <v>295180.92</v>
      </c>
      <c r="I39" s="1">
        <v>0</v>
      </c>
      <c r="J39" t="s">
        <v>2370</v>
      </c>
      <c r="K39" s="1">
        <f t="shared" si="0"/>
        <v>0</v>
      </c>
      <c r="L39" s="1">
        <f>VLOOKUP(C39,'Balancete Dez-2016'!A:H,8,0)</f>
        <v>0</v>
      </c>
      <c r="M39" s="1">
        <f t="shared" si="1"/>
        <v>0</v>
      </c>
    </row>
    <row r="40" spans="2:13" x14ac:dyDescent="0.25">
      <c r="B40" t="s">
        <v>2369</v>
      </c>
      <c r="C40" t="s">
        <v>1628</v>
      </c>
      <c r="E40" s="1">
        <v>3590128.76</v>
      </c>
      <c r="F40" t="s">
        <v>2370</v>
      </c>
      <c r="G40" s="1">
        <v>1730959.23</v>
      </c>
      <c r="H40" s="1">
        <v>4448954.6100000003</v>
      </c>
      <c r="I40" s="1">
        <v>872133.38</v>
      </c>
      <c r="J40" t="s">
        <v>2370</v>
      </c>
      <c r="K40" s="1">
        <f t="shared" si="0"/>
        <v>872133.38</v>
      </c>
      <c r="L40" s="1">
        <f>VLOOKUP(C40,'Balancete Dez-2016'!A:H,8,0)</f>
        <v>872133.38</v>
      </c>
      <c r="M40" s="1">
        <f t="shared" si="1"/>
        <v>0</v>
      </c>
    </row>
    <row r="41" spans="2:13" x14ac:dyDescent="0.25">
      <c r="B41" t="s">
        <v>2369</v>
      </c>
      <c r="C41" t="s">
        <v>1631</v>
      </c>
      <c r="E41" s="1">
        <v>1914663.95</v>
      </c>
      <c r="F41" t="s">
        <v>2370</v>
      </c>
      <c r="G41" s="1">
        <v>666011.44999999995</v>
      </c>
      <c r="H41" s="1">
        <v>2535602.5299999998</v>
      </c>
      <c r="I41" s="1">
        <v>45072.87</v>
      </c>
      <c r="J41" t="s">
        <v>2370</v>
      </c>
      <c r="K41" s="1">
        <f t="shared" si="0"/>
        <v>45072.87</v>
      </c>
      <c r="L41" s="1">
        <f>VLOOKUP(C41,'Balancete Dez-2016'!A:H,8,0)</f>
        <v>45072.87</v>
      </c>
      <c r="M41" s="1">
        <f t="shared" si="1"/>
        <v>0</v>
      </c>
    </row>
    <row r="42" spans="2:13" x14ac:dyDescent="0.25">
      <c r="B42" t="s">
        <v>2369</v>
      </c>
      <c r="C42" t="s">
        <v>192</v>
      </c>
      <c r="E42" s="1">
        <v>5995296.8799999999</v>
      </c>
      <c r="F42" t="s">
        <v>2370</v>
      </c>
      <c r="G42" s="1">
        <v>8997.5</v>
      </c>
      <c r="H42" s="1">
        <v>54747.5</v>
      </c>
      <c r="I42" s="1">
        <v>5949546.8799999999</v>
      </c>
      <c r="J42" t="s">
        <v>2370</v>
      </c>
      <c r="K42" s="1">
        <f t="shared" si="0"/>
        <v>5949546.8799999999</v>
      </c>
      <c r="L42" s="1">
        <f>VLOOKUP(C42,'Balancete Dez-2016'!A:H,8,0)</f>
        <v>5949546.8799999999</v>
      </c>
      <c r="M42" s="1">
        <f t="shared" si="1"/>
        <v>0</v>
      </c>
    </row>
    <row r="43" spans="2:13" x14ac:dyDescent="0.25">
      <c r="B43" t="s">
        <v>2369</v>
      </c>
      <c r="C43" t="s">
        <v>1006</v>
      </c>
      <c r="E43" s="1">
        <v>2406935.8199999998</v>
      </c>
      <c r="F43" t="s">
        <v>2371</v>
      </c>
      <c r="G43" s="1">
        <v>505649.71</v>
      </c>
      <c r="H43" s="1">
        <v>0</v>
      </c>
      <c r="I43" s="1">
        <v>1901286.11</v>
      </c>
      <c r="J43" t="s">
        <v>2371</v>
      </c>
      <c r="K43" s="1">
        <f t="shared" si="0"/>
        <v>-1901286.11</v>
      </c>
      <c r="L43" s="1">
        <f>VLOOKUP(C43,'Balancete Dez-2016'!A:H,8,0)</f>
        <v>-1901286.11</v>
      </c>
      <c r="M43" s="1">
        <f t="shared" si="1"/>
        <v>0</v>
      </c>
    </row>
    <row r="44" spans="2:13" x14ac:dyDescent="0.25">
      <c r="B44" t="s">
        <v>2369</v>
      </c>
      <c r="C44" t="s">
        <v>200</v>
      </c>
      <c r="E44" s="1">
        <v>1219580</v>
      </c>
      <c r="F44" t="s">
        <v>2370</v>
      </c>
      <c r="G44" s="1">
        <v>0</v>
      </c>
      <c r="H44" s="1">
        <v>525899.88</v>
      </c>
      <c r="I44" s="1">
        <v>693680.12</v>
      </c>
      <c r="J44" t="s">
        <v>2370</v>
      </c>
      <c r="K44" s="1">
        <f t="shared" si="0"/>
        <v>693680.12</v>
      </c>
      <c r="L44" s="1">
        <f>VLOOKUP(C44,'Balancete Dez-2016'!A:H,8,0)</f>
        <v>693680.12</v>
      </c>
      <c r="M44" s="1">
        <f t="shared" si="1"/>
        <v>0</v>
      </c>
    </row>
    <row r="45" spans="2:13" x14ac:dyDescent="0.25">
      <c r="B45" t="s">
        <v>2369</v>
      </c>
      <c r="C45" t="s">
        <v>210</v>
      </c>
      <c r="E45" s="1">
        <v>267858.78000000003</v>
      </c>
      <c r="F45" t="s">
        <v>2370</v>
      </c>
      <c r="G45" s="1">
        <v>0</v>
      </c>
      <c r="H45" s="1">
        <v>267858.78000000003</v>
      </c>
      <c r="I45" s="1">
        <v>0</v>
      </c>
      <c r="J45" t="s">
        <v>2370</v>
      </c>
      <c r="K45" s="1">
        <f t="shared" si="0"/>
        <v>0</v>
      </c>
      <c r="L45" s="1">
        <f>VLOOKUP(C45,'Balancete Dez-2016'!A:H,8,0)</f>
        <v>0</v>
      </c>
      <c r="M45" s="1">
        <f t="shared" si="1"/>
        <v>0</v>
      </c>
    </row>
    <row r="46" spans="2:13" x14ac:dyDescent="0.25">
      <c r="B46" t="s">
        <v>2369</v>
      </c>
      <c r="C46" t="s">
        <v>1653</v>
      </c>
      <c r="E46" s="1">
        <v>73568.09</v>
      </c>
      <c r="F46" t="s">
        <v>2370</v>
      </c>
      <c r="G46" s="1">
        <v>4643.18</v>
      </c>
      <c r="H46" s="1">
        <v>3512.61</v>
      </c>
      <c r="I46" s="1">
        <v>74698.66</v>
      </c>
      <c r="J46" t="s">
        <v>2370</v>
      </c>
      <c r="K46" s="1">
        <f t="shared" si="0"/>
        <v>74698.66</v>
      </c>
      <c r="L46" s="1">
        <f>VLOOKUP(C46,'Balancete Dez-2016'!A:H,8,0)</f>
        <v>74698.66</v>
      </c>
      <c r="M46" s="1">
        <f t="shared" si="1"/>
        <v>0</v>
      </c>
    </row>
    <row r="47" spans="2:13" x14ac:dyDescent="0.25">
      <c r="B47" t="s">
        <v>2369</v>
      </c>
      <c r="C47" t="s">
        <v>1656</v>
      </c>
      <c r="E47" s="1">
        <v>97162.48</v>
      </c>
      <c r="F47" t="s">
        <v>2371</v>
      </c>
      <c r="G47" s="1">
        <v>97162.48</v>
      </c>
      <c r="H47" s="1">
        <v>0</v>
      </c>
      <c r="I47" s="1">
        <v>0</v>
      </c>
      <c r="J47" t="s">
        <v>2370</v>
      </c>
      <c r="K47" s="1">
        <f t="shared" si="0"/>
        <v>0</v>
      </c>
      <c r="L47" s="1">
        <f>VLOOKUP(C47,'Balancete Dez-2016'!A:H,8,0)</f>
        <v>0</v>
      </c>
      <c r="M47" s="1">
        <f t="shared" si="1"/>
        <v>0</v>
      </c>
    </row>
    <row r="48" spans="2:13" x14ac:dyDescent="0.25">
      <c r="B48" t="s">
        <v>2369</v>
      </c>
      <c r="C48" t="s">
        <v>218</v>
      </c>
      <c r="E48" s="1">
        <v>268.31</v>
      </c>
      <c r="F48" t="s">
        <v>2371</v>
      </c>
      <c r="G48" s="1">
        <v>44389.26</v>
      </c>
      <c r="H48" s="1">
        <v>0</v>
      </c>
      <c r="I48" s="1">
        <v>44120.95</v>
      </c>
      <c r="J48" t="s">
        <v>2370</v>
      </c>
      <c r="K48" s="1">
        <f t="shared" si="0"/>
        <v>44120.95</v>
      </c>
      <c r="L48" s="1">
        <f>VLOOKUP(C48,'Balancete Dez-2016'!A:H,8,0)</f>
        <v>44447.16</v>
      </c>
      <c r="M48" s="1">
        <f t="shared" si="1"/>
        <v>-326.2100000000064</v>
      </c>
    </row>
    <row r="49" spans="2:13" x14ac:dyDescent="0.25">
      <c r="B49" t="s">
        <v>2369</v>
      </c>
      <c r="C49" t="s">
        <v>220</v>
      </c>
      <c r="E49" s="1">
        <v>251819.72</v>
      </c>
      <c r="F49" t="s">
        <v>2370</v>
      </c>
      <c r="G49" s="1">
        <v>689153.74</v>
      </c>
      <c r="H49" s="1">
        <v>251819.72</v>
      </c>
      <c r="I49" s="1">
        <v>689153.74</v>
      </c>
      <c r="J49" t="s">
        <v>2370</v>
      </c>
      <c r="K49" s="1">
        <f t="shared" si="0"/>
        <v>689153.74</v>
      </c>
      <c r="L49" s="1">
        <f>VLOOKUP(C49,'Balancete Dez-2016'!A:H,8,0)</f>
        <v>689153.74</v>
      </c>
      <c r="M49" s="1">
        <f t="shared" si="1"/>
        <v>0</v>
      </c>
    </row>
    <row r="50" spans="2:13" x14ac:dyDescent="0.25">
      <c r="B50" t="s">
        <v>2369</v>
      </c>
      <c r="C50" t="s">
        <v>222</v>
      </c>
      <c r="E50" s="1">
        <v>0</v>
      </c>
      <c r="F50" t="s">
        <v>2370</v>
      </c>
      <c r="G50" s="1">
        <v>155915.67000000001</v>
      </c>
      <c r="H50" s="1">
        <v>0</v>
      </c>
      <c r="I50" s="1">
        <v>155915.67000000001</v>
      </c>
      <c r="J50" t="s">
        <v>2370</v>
      </c>
      <c r="K50" s="1">
        <f t="shared" si="0"/>
        <v>155915.67000000001</v>
      </c>
      <c r="L50" s="1">
        <f>VLOOKUP(C50,'Balancete Dez-2016'!A:H,8,0)</f>
        <v>155915.67000000001</v>
      </c>
      <c r="M50" s="1">
        <f t="shared" si="1"/>
        <v>0</v>
      </c>
    </row>
    <row r="51" spans="2:13" x14ac:dyDescent="0.25">
      <c r="B51" t="s">
        <v>2369</v>
      </c>
      <c r="C51" t="s">
        <v>248</v>
      </c>
      <c r="E51" s="1">
        <v>846905.42</v>
      </c>
      <c r="F51" t="s">
        <v>2370</v>
      </c>
      <c r="G51" s="1">
        <v>0</v>
      </c>
      <c r="H51" s="1">
        <v>845707.2</v>
      </c>
      <c r="I51" s="1">
        <v>1198.22</v>
      </c>
      <c r="J51" t="s">
        <v>2370</v>
      </c>
      <c r="K51" s="1">
        <f t="shared" si="0"/>
        <v>1198.22</v>
      </c>
      <c r="L51" s="1">
        <f>VLOOKUP(C51,'Balancete Dez-2016'!A:H,8,0)</f>
        <v>1198.22</v>
      </c>
      <c r="M51" s="1">
        <f t="shared" si="1"/>
        <v>0</v>
      </c>
    </row>
    <row r="52" spans="2:13" x14ac:dyDescent="0.25">
      <c r="B52" t="s">
        <v>2369</v>
      </c>
      <c r="C52" t="s">
        <v>1009</v>
      </c>
      <c r="E52" s="1">
        <v>70142.34</v>
      </c>
      <c r="F52" t="s">
        <v>2370</v>
      </c>
      <c r="G52" s="1">
        <v>0</v>
      </c>
      <c r="H52" s="1">
        <v>70142.34</v>
      </c>
      <c r="I52" s="1">
        <v>0</v>
      </c>
      <c r="J52" t="s">
        <v>2370</v>
      </c>
      <c r="K52" s="1">
        <f t="shared" si="0"/>
        <v>0</v>
      </c>
      <c r="L52" s="1">
        <f>VLOOKUP(C52,'Balancete Dez-2016'!A:H,8,0)</f>
        <v>0</v>
      </c>
      <c r="M52" s="1">
        <f t="shared" si="1"/>
        <v>0</v>
      </c>
    </row>
    <row r="53" spans="2:13" x14ac:dyDescent="0.25">
      <c r="B53" t="s">
        <v>2369</v>
      </c>
      <c r="C53" t="s">
        <v>1161</v>
      </c>
      <c r="E53" s="1">
        <v>2070642</v>
      </c>
      <c r="F53" t="s">
        <v>2370</v>
      </c>
      <c r="G53" s="1">
        <v>7450.96</v>
      </c>
      <c r="H53" s="1">
        <v>0</v>
      </c>
      <c r="I53" s="1">
        <v>2078092.96</v>
      </c>
      <c r="J53" t="s">
        <v>2370</v>
      </c>
      <c r="K53" s="1">
        <f t="shared" si="0"/>
        <v>2078092.96</v>
      </c>
      <c r="L53" s="1">
        <f>VLOOKUP(C53,'Balancete Dez-2016'!A:H,8,0)</f>
        <v>2078092.96</v>
      </c>
      <c r="M53" s="1">
        <f t="shared" si="1"/>
        <v>0</v>
      </c>
    </row>
    <row r="54" spans="2:13" x14ac:dyDescent="0.25">
      <c r="B54" t="s">
        <v>2369</v>
      </c>
      <c r="C54" t="s">
        <v>1164</v>
      </c>
      <c r="E54" s="1">
        <v>28163138.539999999</v>
      </c>
      <c r="F54" t="s">
        <v>2370</v>
      </c>
      <c r="G54" s="1">
        <v>4401.93</v>
      </c>
      <c r="H54" s="1">
        <v>0</v>
      </c>
      <c r="I54" s="1">
        <v>28167540.469999999</v>
      </c>
      <c r="J54" t="s">
        <v>2370</v>
      </c>
      <c r="K54" s="1">
        <f t="shared" si="0"/>
        <v>28167540.469999999</v>
      </c>
      <c r="L54" s="1">
        <f>VLOOKUP(C54,'Balancete Dez-2016'!A:H,8,0)</f>
        <v>28167540.469999999</v>
      </c>
      <c r="M54" s="1">
        <f t="shared" si="1"/>
        <v>0</v>
      </c>
    </row>
    <row r="55" spans="2:13" x14ac:dyDescent="0.25">
      <c r="B55" t="s">
        <v>2369</v>
      </c>
      <c r="C55" t="s">
        <v>308</v>
      </c>
      <c r="E55" s="1">
        <v>1620085.75</v>
      </c>
      <c r="F55" t="s">
        <v>2370</v>
      </c>
      <c r="G55" s="1">
        <v>2340</v>
      </c>
      <c r="H55" s="1">
        <v>0</v>
      </c>
      <c r="I55" s="1">
        <v>1622425.75</v>
      </c>
      <c r="J55" t="s">
        <v>2370</v>
      </c>
      <c r="K55" s="1">
        <f t="shared" si="0"/>
        <v>1622425.75</v>
      </c>
      <c r="L55" s="1">
        <f>VLOOKUP(C55,'Balancete Dez-2016'!A:H,8,0)</f>
        <v>1622425.75</v>
      </c>
      <c r="M55" s="1">
        <f t="shared" si="1"/>
        <v>0</v>
      </c>
    </row>
    <row r="56" spans="2:13" x14ac:dyDescent="0.25">
      <c r="B56" t="s">
        <v>2369</v>
      </c>
      <c r="C56" t="s">
        <v>312</v>
      </c>
      <c r="E56" s="1">
        <v>4000567.12</v>
      </c>
      <c r="F56" t="s">
        <v>2370</v>
      </c>
      <c r="G56" s="1">
        <v>4828</v>
      </c>
      <c r="H56" s="1">
        <v>2340</v>
      </c>
      <c r="I56" s="1">
        <v>4003055.12</v>
      </c>
      <c r="J56" t="s">
        <v>2370</v>
      </c>
      <c r="K56" s="1">
        <f t="shared" si="0"/>
        <v>4003055.12</v>
      </c>
      <c r="L56" s="1">
        <f>VLOOKUP(C56,'Balancete Dez-2016'!A:H,8,0)</f>
        <v>4003055.12</v>
      </c>
      <c r="M56" s="1">
        <f t="shared" si="1"/>
        <v>0</v>
      </c>
    </row>
    <row r="57" spans="2:13" x14ac:dyDescent="0.25">
      <c r="B57" t="s">
        <v>2369</v>
      </c>
      <c r="C57" t="s">
        <v>1763</v>
      </c>
      <c r="E57" s="1">
        <v>0</v>
      </c>
      <c r="F57" t="s">
        <v>2370</v>
      </c>
      <c r="G57" s="1">
        <v>772893.36</v>
      </c>
      <c r="H57" s="1">
        <v>0</v>
      </c>
      <c r="I57" s="1">
        <v>772893.36</v>
      </c>
      <c r="J57" t="s">
        <v>2370</v>
      </c>
      <c r="K57" s="1">
        <f t="shared" si="0"/>
        <v>772893.36</v>
      </c>
      <c r="L57" s="1">
        <f>VLOOKUP(C57,'Balancete Dez-2016'!A:H,8,0)</f>
        <v>772893.36</v>
      </c>
      <c r="M57" s="1">
        <f t="shared" si="1"/>
        <v>0</v>
      </c>
    </row>
    <row r="58" spans="2:13" x14ac:dyDescent="0.25">
      <c r="B58" t="s">
        <v>2369</v>
      </c>
      <c r="C58" t="s">
        <v>1766</v>
      </c>
      <c r="E58" s="1">
        <v>0</v>
      </c>
      <c r="F58" t="s">
        <v>2370</v>
      </c>
      <c r="G58" s="1">
        <v>5069945.33</v>
      </c>
      <c r="H58" s="1">
        <v>0</v>
      </c>
      <c r="I58" s="1">
        <v>5069945.33</v>
      </c>
      <c r="J58" t="s">
        <v>2370</v>
      </c>
      <c r="K58" s="1">
        <f t="shared" si="0"/>
        <v>5069945.33</v>
      </c>
      <c r="L58" s="1">
        <f>VLOOKUP(C58,'Balancete Dez-2016'!A:H,8,0)</f>
        <v>5069945.33</v>
      </c>
      <c r="M58" s="1">
        <f t="shared" si="1"/>
        <v>0</v>
      </c>
    </row>
    <row r="59" spans="2:13" x14ac:dyDescent="0.25">
      <c r="B59" t="s">
        <v>2369</v>
      </c>
      <c r="C59" t="s">
        <v>1769</v>
      </c>
      <c r="E59" s="1">
        <v>0</v>
      </c>
      <c r="F59" t="s">
        <v>2370</v>
      </c>
      <c r="G59" s="1">
        <v>2231381.63</v>
      </c>
      <c r="H59" s="1">
        <v>0</v>
      </c>
      <c r="I59" s="1">
        <v>2231381.63</v>
      </c>
      <c r="J59" t="s">
        <v>2370</v>
      </c>
      <c r="K59" s="1">
        <f t="shared" si="0"/>
        <v>2231381.63</v>
      </c>
      <c r="L59" s="1">
        <f>VLOOKUP(C59,'Balancete Dez-2016'!A:H,8,0)</f>
        <v>2231381.63</v>
      </c>
      <c r="M59" s="1">
        <f t="shared" si="1"/>
        <v>0</v>
      </c>
    </row>
    <row r="60" spans="2:13" x14ac:dyDescent="0.25">
      <c r="B60" t="s">
        <v>2369</v>
      </c>
      <c r="C60" t="s">
        <v>386</v>
      </c>
      <c r="E60" s="1">
        <v>1625300085.48</v>
      </c>
      <c r="F60" t="s">
        <v>2370</v>
      </c>
      <c r="G60" s="1">
        <v>4839131.45</v>
      </c>
      <c r="H60" s="1">
        <v>8800047.8200000003</v>
      </c>
      <c r="I60" s="1">
        <v>1621339169.1099999</v>
      </c>
      <c r="J60" t="s">
        <v>2370</v>
      </c>
      <c r="K60" s="1">
        <f t="shared" si="0"/>
        <v>1621339169.1099999</v>
      </c>
      <c r="L60" s="1">
        <f>VLOOKUP(C60,'Balancete Dez-2016'!A:H,8,0)</f>
        <v>1621339169.1099999</v>
      </c>
      <c r="M60" s="1">
        <f t="shared" si="1"/>
        <v>0</v>
      </c>
    </row>
    <row r="61" spans="2:13" x14ac:dyDescent="0.25">
      <c r="B61" t="s">
        <v>2369</v>
      </c>
      <c r="C61" t="s">
        <v>416</v>
      </c>
      <c r="E61" s="1">
        <v>4642727.1399999997</v>
      </c>
      <c r="F61" t="s">
        <v>2371</v>
      </c>
      <c r="G61" s="1">
        <v>0</v>
      </c>
      <c r="H61" s="1">
        <v>0.54</v>
      </c>
      <c r="I61" s="1">
        <v>4642727.68</v>
      </c>
      <c r="J61" t="s">
        <v>2371</v>
      </c>
      <c r="K61" s="1">
        <f t="shared" si="0"/>
        <v>-4642727.68</v>
      </c>
      <c r="L61" s="1">
        <f>VLOOKUP(C61,'Balancete Dez-2016'!A:H,8,0)</f>
        <v>-4642727.68</v>
      </c>
      <c r="M61" s="1">
        <f t="shared" si="1"/>
        <v>0</v>
      </c>
    </row>
    <row r="62" spans="2:13" x14ac:dyDescent="0.25">
      <c r="B62" t="s">
        <v>2369</v>
      </c>
      <c r="C62" t="s">
        <v>418</v>
      </c>
      <c r="E62" s="1">
        <v>123852331.59999999</v>
      </c>
      <c r="F62" t="s">
        <v>2371</v>
      </c>
      <c r="G62" s="1">
        <v>0</v>
      </c>
      <c r="H62" s="1">
        <v>1642351.36</v>
      </c>
      <c r="I62" s="1">
        <v>125494682.95999999</v>
      </c>
      <c r="J62" t="s">
        <v>2371</v>
      </c>
      <c r="K62" s="1">
        <f t="shared" si="0"/>
        <v>-125494682.95999999</v>
      </c>
      <c r="L62" s="1">
        <f>VLOOKUP(C62,'Balancete Dez-2016'!A:H,8,0)</f>
        <v>-125494682.95999999</v>
      </c>
      <c r="M62" s="1">
        <f t="shared" si="1"/>
        <v>0</v>
      </c>
    </row>
    <row r="63" spans="2:13" x14ac:dyDescent="0.25">
      <c r="B63" t="s">
        <v>2369</v>
      </c>
      <c r="C63" t="s">
        <v>420</v>
      </c>
      <c r="E63" s="1">
        <v>529526.5</v>
      </c>
      <c r="F63" t="s">
        <v>2371</v>
      </c>
      <c r="G63" s="1">
        <v>0</v>
      </c>
      <c r="H63" s="1">
        <v>13357.25</v>
      </c>
      <c r="I63" s="1">
        <v>542883.75</v>
      </c>
      <c r="J63" t="s">
        <v>2371</v>
      </c>
      <c r="K63" s="1">
        <f t="shared" si="0"/>
        <v>-542883.75</v>
      </c>
      <c r="L63" s="1">
        <f>VLOOKUP(C63,'Balancete Dez-2016'!A:H,8,0)</f>
        <v>-542883.75</v>
      </c>
      <c r="M63" s="1">
        <f t="shared" si="1"/>
        <v>0</v>
      </c>
    </row>
    <row r="64" spans="2:13" x14ac:dyDescent="0.25">
      <c r="B64" t="s">
        <v>2369</v>
      </c>
      <c r="C64" t="s">
        <v>422</v>
      </c>
      <c r="E64" s="1">
        <v>295686.71000000002</v>
      </c>
      <c r="F64" t="s">
        <v>2371</v>
      </c>
      <c r="G64" s="1">
        <v>16967.16</v>
      </c>
      <c r="H64" s="1">
        <v>16967.16</v>
      </c>
      <c r="I64" s="1">
        <v>295686.71000000002</v>
      </c>
      <c r="J64" t="s">
        <v>2371</v>
      </c>
      <c r="K64" s="1">
        <f t="shared" si="0"/>
        <v>-295686.71000000002</v>
      </c>
      <c r="L64" s="1">
        <f>VLOOKUP(C64,'Balancete Dez-2016'!A:H,8,0)</f>
        <v>-295686.71000000002</v>
      </c>
      <c r="M64" s="1">
        <f t="shared" si="1"/>
        <v>0</v>
      </c>
    </row>
    <row r="65" spans="2:13" x14ac:dyDescent="0.25">
      <c r="B65" t="s">
        <v>2369</v>
      </c>
      <c r="C65" t="s">
        <v>424</v>
      </c>
      <c r="E65" s="1">
        <v>2413675.38</v>
      </c>
      <c r="F65" t="s">
        <v>2371</v>
      </c>
      <c r="G65" s="1">
        <v>0</v>
      </c>
      <c r="H65" s="1">
        <v>28156.48</v>
      </c>
      <c r="I65" s="1">
        <v>2441831.86</v>
      </c>
      <c r="J65" t="s">
        <v>2371</v>
      </c>
      <c r="K65" s="1">
        <f t="shared" ref="K65:K86" si="2">IF(AND(LEFT(C65,1)="1",J65="C"),-I65,IF(AND(LEFT(C65,1)="2",J65="C"),-I65,I65))</f>
        <v>-2441831.86</v>
      </c>
      <c r="L65" s="1">
        <f>VLOOKUP(C65,'Balancete Dez-2016'!A:H,8,0)</f>
        <v>-2441831.86</v>
      </c>
      <c r="M65" s="1">
        <f t="shared" si="1"/>
        <v>0</v>
      </c>
    </row>
    <row r="66" spans="2:13" x14ac:dyDescent="0.25">
      <c r="B66" t="s">
        <v>2369</v>
      </c>
      <c r="C66" t="s">
        <v>426</v>
      </c>
      <c r="E66" s="1">
        <v>474053.13</v>
      </c>
      <c r="F66" t="s">
        <v>2371</v>
      </c>
      <c r="G66" s="1">
        <v>0</v>
      </c>
      <c r="H66" s="1">
        <v>17360.27</v>
      </c>
      <c r="I66" s="1">
        <v>491413.4</v>
      </c>
      <c r="J66" t="s">
        <v>2371</v>
      </c>
      <c r="K66" s="1">
        <f t="shared" si="2"/>
        <v>-491413.4</v>
      </c>
      <c r="L66" s="1">
        <f>VLOOKUP(C66,'Balancete Dez-2016'!A:H,8,0)</f>
        <v>-491413.4</v>
      </c>
      <c r="M66" s="1">
        <f t="shared" ref="M66:M129" si="3">K66-L66</f>
        <v>0</v>
      </c>
    </row>
    <row r="67" spans="2:13" x14ac:dyDescent="0.25">
      <c r="B67" t="s">
        <v>2369</v>
      </c>
      <c r="C67" t="s">
        <v>428</v>
      </c>
      <c r="E67" s="1">
        <v>224182.93</v>
      </c>
      <c r="F67" t="s">
        <v>2371</v>
      </c>
      <c r="G67" s="1">
        <v>0</v>
      </c>
      <c r="H67" s="1">
        <v>21376.97</v>
      </c>
      <c r="I67" s="1">
        <v>245559.9</v>
      </c>
      <c r="J67" t="s">
        <v>2371</v>
      </c>
      <c r="K67" s="1">
        <f t="shared" si="2"/>
        <v>-245559.9</v>
      </c>
      <c r="L67" s="1">
        <f>VLOOKUP(C67,'Balancete Dez-2016'!A:H,8,0)</f>
        <v>-245559.9</v>
      </c>
      <c r="M67" s="1">
        <f t="shared" si="3"/>
        <v>0</v>
      </c>
    </row>
    <row r="68" spans="2:13" x14ac:dyDescent="0.25">
      <c r="B68" t="s">
        <v>2369</v>
      </c>
      <c r="C68" t="s">
        <v>435</v>
      </c>
      <c r="E68" s="1">
        <v>4664701.4000000004</v>
      </c>
      <c r="F68" t="s">
        <v>2371</v>
      </c>
      <c r="G68" s="1">
        <v>0</v>
      </c>
      <c r="H68" s="1">
        <v>0.43</v>
      </c>
      <c r="I68" s="1">
        <v>4664701.83</v>
      </c>
      <c r="J68" t="s">
        <v>2371</v>
      </c>
      <c r="K68" s="1">
        <f t="shared" si="2"/>
        <v>-4664701.83</v>
      </c>
      <c r="L68" s="1">
        <f>VLOOKUP(C68,'Balancete Dez-2016'!A:H,8,0)</f>
        <v>-4664701.83</v>
      </c>
      <c r="M68" s="1">
        <f t="shared" si="3"/>
        <v>0</v>
      </c>
    </row>
    <row r="69" spans="2:13" x14ac:dyDescent="0.25">
      <c r="B69" t="s">
        <v>2369</v>
      </c>
      <c r="C69" t="s">
        <v>437</v>
      </c>
      <c r="E69" s="1">
        <v>23512235.530000001</v>
      </c>
      <c r="F69" t="s">
        <v>2371</v>
      </c>
      <c r="G69" s="1">
        <v>0</v>
      </c>
      <c r="H69" s="1">
        <v>56630.33</v>
      </c>
      <c r="I69" s="1">
        <v>23568865.859999999</v>
      </c>
      <c r="J69" t="s">
        <v>2371</v>
      </c>
      <c r="K69" s="1">
        <f t="shared" si="2"/>
        <v>-23568865.859999999</v>
      </c>
      <c r="L69" s="1">
        <f>VLOOKUP(C69,'Balancete Dez-2016'!A:H,8,0)</f>
        <v>-23568865.859999999</v>
      </c>
      <c r="M69" s="1">
        <f t="shared" si="3"/>
        <v>0</v>
      </c>
    </row>
    <row r="70" spans="2:13" x14ac:dyDescent="0.25">
      <c r="B70" t="s">
        <v>2369</v>
      </c>
      <c r="C70" t="s">
        <v>1171</v>
      </c>
      <c r="E70" s="1">
        <v>416139.34</v>
      </c>
      <c r="F70" t="s">
        <v>2371</v>
      </c>
      <c r="G70" s="1">
        <v>0</v>
      </c>
      <c r="H70" s="1">
        <v>18092.29</v>
      </c>
      <c r="I70" s="1">
        <v>434231.63</v>
      </c>
      <c r="J70" t="s">
        <v>2371</v>
      </c>
      <c r="K70" s="1">
        <f t="shared" si="2"/>
        <v>-434231.63</v>
      </c>
      <c r="L70" s="1">
        <f>VLOOKUP(C70,'Balancete Dez-2016'!A:H,8,0)</f>
        <v>-434231.63</v>
      </c>
      <c r="M70" s="1">
        <f t="shared" si="3"/>
        <v>0</v>
      </c>
    </row>
    <row r="71" spans="2:13" x14ac:dyDescent="0.25">
      <c r="B71" t="s">
        <v>2369</v>
      </c>
      <c r="C71" t="s">
        <v>1173</v>
      </c>
      <c r="E71" s="1">
        <v>583.28</v>
      </c>
      <c r="F71" t="s">
        <v>2371</v>
      </c>
      <c r="G71" s="1">
        <v>0</v>
      </c>
      <c r="H71" s="1">
        <v>25.36</v>
      </c>
      <c r="I71" s="1">
        <v>608.64</v>
      </c>
      <c r="J71" t="s">
        <v>2371</v>
      </c>
      <c r="K71" s="1">
        <f t="shared" si="2"/>
        <v>-608.64</v>
      </c>
      <c r="L71" s="1">
        <f>VLOOKUP(C71,'Balancete Dez-2016'!A:H,8,0)</f>
        <v>-608.64</v>
      </c>
      <c r="M71" s="1">
        <f t="shared" si="3"/>
        <v>0</v>
      </c>
    </row>
    <row r="72" spans="2:13" x14ac:dyDescent="0.25">
      <c r="B72" t="s">
        <v>2369</v>
      </c>
      <c r="C72" t="s">
        <v>1175</v>
      </c>
      <c r="E72" s="1">
        <v>74095.42</v>
      </c>
      <c r="F72" t="s">
        <v>2371</v>
      </c>
      <c r="G72" s="1">
        <v>0</v>
      </c>
      <c r="H72" s="1">
        <v>3221.54</v>
      </c>
      <c r="I72" s="1">
        <v>77316.960000000006</v>
      </c>
      <c r="J72" t="s">
        <v>2371</v>
      </c>
      <c r="K72" s="1">
        <f t="shared" si="2"/>
        <v>-77316.960000000006</v>
      </c>
      <c r="L72" s="1">
        <f>VLOOKUP(C72,'Balancete Dez-2016'!A:H,8,0)</f>
        <v>-77316.960000000006</v>
      </c>
      <c r="M72" s="1">
        <f t="shared" si="3"/>
        <v>0</v>
      </c>
    </row>
    <row r="73" spans="2:13" x14ac:dyDescent="0.25">
      <c r="B73" t="s">
        <v>2369</v>
      </c>
      <c r="C73" t="s">
        <v>1177</v>
      </c>
      <c r="E73" s="1">
        <v>49765.1</v>
      </c>
      <c r="F73" t="s">
        <v>2371</v>
      </c>
      <c r="G73" s="1">
        <v>0</v>
      </c>
      <c r="H73" s="1">
        <v>2163.6999999999998</v>
      </c>
      <c r="I73" s="1">
        <v>51928.800000000003</v>
      </c>
      <c r="J73" t="s">
        <v>2371</v>
      </c>
      <c r="K73" s="1">
        <f t="shared" si="2"/>
        <v>-51928.800000000003</v>
      </c>
      <c r="L73" s="1">
        <f>VLOOKUP(C73,'Balancete Dez-2016'!A:H,8,0)</f>
        <v>-51928.800000000003</v>
      </c>
      <c r="M73" s="1">
        <f t="shared" si="3"/>
        <v>0</v>
      </c>
    </row>
    <row r="74" spans="2:13" x14ac:dyDescent="0.25">
      <c r="B74" t="s">
        <v>2369</v>
      </c>
      <c r="C74" t="s">
        <v>1179</v>
      </c>
      <c r="E74" s="1">
        <v>1278.8</v>
      </c>
      <c r="F74" t="s">
        <v>2371</v>
      </c>
      <c r="G74" s="1">
        <v>0</v>
      </c>
      <c r="H74" s="1">
        <v>55.6</v>
      </c>
      <c r="I74" s="1">
        <v>1334.4</v>
      </c>
      <c r="J74" t="s">
        <v>2371</v>
      </c>
      <c r="K74" s="1">
        <f t="shared" si="2"/>
        <v>-1334.4</v>
      </c>
      <c r="L74" s="1">
        <f>VLOOKUP(C74,'Balancete Dez-2016'!A:H,8,0)</f>
        <v>-1334.4</v>
      </c>
      <c r="M74" s="1">
        <f t="shared" si="3"/>
        <v>0</v>
      </c>
    </row>
    <row r="75" spans="2:13" x14ac:dyDescent="0.25">
      <c r="B75" t="s">
        <v>2369</v>
      </c>
      <c r="C75" t="s">
        <v>1181</v>
      </c>
      <c r="E75" s="1">
        <v>62130.82</v>
      </c>
      <c r="F75" t="s">
        <v>2371</v>
      </c>
      <c r="G75" s="1">
        <v>0</v>
      </c>
      <c r="H75" s="1">
        <v>2701.34</v>
      </c>
      <c r="I75" s="1">
        <v>64832.160000000003</v>
      </c>
      <c r="J75" t="s">
        <v>2371</v>
      </c>
      <c r="K75" s="1">
        <f t="shared" si="2"/>
        <v>-64832.160000000003</v>
      </c>
      <c r="L75" s="1">
        <f>VLOOKUP(C75,'Balancete Dez-2016'!A:H,8,0)</f>
        <v>-64832.160000000003</v>
      </c>
      <c r="M75" s="1">
        <f t="shared" si="3"/>
        <v>0</v>
      </c>
    </row>
    <row r="76" spans="2:13" x14ac:dyDescent="0.25">
      <c r="B76" t="s">
        <v>2369</v>
      </c>
      <c r="C76" t="s">
        <v>1183</v>
      </c>
      <c r="E76" s="1">
        <v>967393.11</v>
      </c>
      <c r="F76" t="s">
        <v>2371</v>
      </c>
      <c r="G76" s="1">
        <v>0</v>
      </c>
      <c r="H76" s="1">
        <v>42060.57</v>
      </c>
      <c r="I76" s="1">
        <v>1009453.68</v>
      </c>
      <c r="J76" t="s">
        <v>2371</v>
      </c>
      <c r="K76" s="1">
        <f t="shared" si="2"/>
        <v>-1009453.68</v>
      </c>
      <c r="L76" s="1">
        <f>VLOOKUP(C76,'Balancete Dez-2016'!A:H,8,0)</f>
        <v>-1009453.68</v>
      </c>
      <c r="M76" s="1">
        <f t="shared" si="3"/>
        <v>0</v>
      </c>
    </row>
    <row r="77" spans="2:13" x14ac:dyDescent="0.25">
      <c r="B77" t="s">
        <v>2369</v>
      </c>
      <c r="C77" t="s">
        <v>1185</v>
      </c>
      <c r="E77" s="1">
        <v>16762851.26</v>
      </c>
      <c r="F77" t="s">
        <v>2371</v>
      </c>
      <c r="G77" s="1">
        <v>0</v>
      </c>
      <c r="H77" s="1">
        <v>728819.62</v>
      </c>
      <c r="I77" s="1">
        <v>17491670.879999999</v>
      </c>
      <c r="J77" t="s">
        <v>2371</v>
      </c>
      <c r="K77" s="1">
        <f t="shared" si="2"/>
        <v>-17491670.879999999</v>
      </c>
      <c r="L77" s="1">
        <f>VLOOKUP(C77,'Balancete Dez-2016'!A:H,8,0)</f>
        <v>-17491670.879999999</v>
      </c>
      <c r="M77" s="1">
        <f t="shared" si="3"/>
        <v>0</v>
      </c>
    </row>
    <row r="78" spans="2:13" x14ac:dyDescent="0.25">
      <c r="B78" t="s">
        <v>2369</v>
      </c>
      <c r="C78" t="s">
        <v>1049</v>
      </c>
      <c r="E78" s="1">
        <v>24573901.469999999</v>
      </c>
      <c r="F78" t="s">
        <v>2370</v>
      </c>
      <c r="G78" s="1">
        <v>1055555.99</v>
      </c>
      <c r="H78" s="1">
        <v>0</v>
      </c>
      <c r="I78" s="1">
        <v>25629457.460000001</v>
      </c>
      <c r="J78" t="s">
        <v>2370</v>
      </c>
      <c r="K78" s="1">
        <f t="shared" si="2"/>
        <v>25629457.460000001</v>
      </c>
      <c r="L78" s="1">
        <f>VLOOKUP(C78,'Balancete Dez-2016'!A:H,8,0)</f>
        <v>25629457.460000001</v>
      </c>
      <c r="M78" s="1">
        <f t="shared" si="3"/>
        <v>0</v>
      </c>
    </row>
    <row r="79" spans="2:13" x14ac:dyDescent="0.25">
      <c r="B79" t="s">
        <v>2369</v>
      </c>
      <c r="C79" t="s">
        <v>487</v>
      </c>
      <c r="E79" s="1">
        <v>2787876.12</v>
      </c>
      <c r="F79" t="s">
        <v>2370</v>
      </c>
      <c r="G79" s="1">
        <v>129520.62</v>
      </c>
      <c r="H79" s="1">
        <v>0</v>
      </c>
      <c r="I79" s="1">
        <v>2917396.74</v>
      </c>
      <c r="J79" t="s">
        <v>2370</v>
      </c>
      <c r="K79" s="1">
        <f t="shared" si="2"/>
        <v>2917396.74</v>
      </c>
      <c r="L79" s="1">
        <f>VLOOKUP(C79,'Balancete Dez-2016'!A:H,8,0)</f>
        <v>2917396.74</v>
      </c>
      <c r="M79" s="1">
        <f t="shared" si="3"/>
        <v>0</v>
      </c>
    </row>
    <row r="80" spans="2:13" x14ac:dyDescent="0.25">
      <c r="B80" t="s">
        <v>2369</v>
      </c>
      <c r="C80" t="s">
        <v>493</v>
      </c>
      <c r="E80" s="1">
        <v>2222996.04</v>
      </c>
      <c r="F80" t="s">
        <v>2371</v>
      </c>
      <c r="G80" s="1">
        <v>0</v>
      </c>
      <c r="H80" s="1">
        <v>69616.149999999994</v>
      </c>
      <c r="I80" s="1">
        <v>2292612.19</v>
      </c>
      <c r="J80" t="s">
        <v>2371</v>
      </c>
      <c r="K80" s="1">
        <f t="shared" si="2"/>
        <v>-2292612.19</v>
      </c>
      <c r="L80" s="1">
        <f>VLOOKUP(C80,'Balancete Dez-2016'!A:H,8,0)</f>
        <v>-2292612.19</v>
      </c>
      <c r="M80" s="1">
        <f t="shared" si="3"/>
        <v>0</v>
      </c>
    </row>
    <row r="81" spans="2:13" x14ac:dyDescent="0.25">
      <c r="B81" t="s">
        <v>2369</v>
      </c>
      <c r="C81" t="s">
        <v>497</v>
      </c>
      <c r="E81" s="1">
        <v>11105.33</v>
      </c>
      <c r="F81" t="s">
        <v>2371</v>
      </c>
      <c r="G81" s="1">
        <v>0</v>
      </c>
      <c r="H81" s="1">
        <v>423.87</v>
      </c>
      <c r="I81" s="1">
        <v>11529.2</v>
      </c>
      <c r="J81" t="s">
        <v>2371</v>
      </c>
      <c r="K81" s="1">
        <f t="shared" si="2"/>
        <v>-11529.2</v>
      </c>
      <c r="L81" s="1">
        <f>VLOOKUP(C81,'Balancete Dez-2016'!A:H,8,0)</f>
        <v>-11529.2</v>
      </c>
      <c r="M81" s="1">
        <f t="shared" si="3"/>
        <v>0</v>
      </c>
    </row>
    <row r="82" spans="2:13" x14ac:dyDescent="0.25">
      <c r="B82" t="s">
        <v>2369</v>
      </c>
      <c r="C82" t="s">
        <v>499</v>
      </c>
      <c r="E82" s="1">
        <v>227150.96</v>
      </c>
      <c r="F82" t="s">
        <v>2371</v>
      </c>
      <c r="G82" s="1">
        <v>0</v>
      </c>
      <c r="H82" s="1">
        <v>12066.96</v>
      </c>
      <c r="I82" s="1">
        <v>239217.92000000001</v>
      </c>
      <c r="J82" t="s">
        <v>2371</v>
      </c>
      <c r="K82" s="1">
        <f t="shared" si="2"/>
        <v>-239217.92000000001</v>
      </c>
      <c r="L82" s="1">
        <f>VLOOKUP(C82,'Balancete Dez-2016'!A:H,8,0)</f>
        <v>-239217.92000000001</v>
      </c>
      <c r="M82" s="1">
        <f t="shared" si="3"/>
        <v>0</v>
      </c>
    </row>
    <row r="83" spans="2:13" x14ac:dyDescent="0.25">
      <c r="B83" t="s">
        <v>2369</v>
      </c>
      <c r="C83" t="s">
        <v>501</v>
      </c>
      <c r="E83" s="1">
        <v>419999.76</v>
      </c>
      <c r="F83" t="s">
        <v>2371</v>
      </c>
      <c r="G83" s="1">
        <v>0</v>
      </c>
      <c r="H83" s="1">
        <v>5833.33</v>
      </c>
      <c r="I83" s="1">
        <v>425833.09</v>
      </c>
      <c r="J83" t="s">
        <v>2371</v>
      </c>
      <c r="K83" s="1">
        <f t="shared" si="2"/>
        <v>-425833.09</v>
      </c>
      <c r="L83" s="1">
        <f>VLOOKUP(C83,'Balancete Dez-2016'!A:H,8,0)</f>
        <v>-425833.09</v>
      </c>
      <c r="M83" s="1">
        <f t="shared" si="3"/>
        <v>0</v>
      </c>
    </row>
    <row r="84" spans="2:13" x14ac:dyDescent="0.25">
      <c r="B84" t="s">
        <v>2369</v>
      </c>
      <c r="C84" t="s">
        <v>503</v>
      </c>
      <c r="E84" s="1">
        <v>5594.4</v>
      </c>
      <c r="F84" t="s">
        <v>2371</v>
      </c>
      <c r="G84" s="1">
        <v>0</v>
      </c>
      <c r="H84" s="1">
        <v>79.92</v>
      </c>
      <c r="I84" s="1">
        <v>5674.32</v>
      </c>
      <c r="J84" t="s">
        <v>2371</v>
      </c>
      <c r="K84" s="1">
        <f t="shared" si="2"/>
        <v>-5674.32</v>
      </c>
      <c r="L84" s="1">
        <f>VLOOKUP(C84,'Balancete Dez-2016'!A:H,8,0)</f>
        <v>-5674.32</v>
      </c>
      <c r="M84" s="1">
        <f t="shared" si="3"/>
        <v>0</v>
      </c>
    </row>
    <row r="85" spans="2:13" x14ac:dyDescent="0.25">
      <c r="B85" t="s">
        <v>2369</v>
      </c>
      <c r="C85" t="s">
        <v>505</v>
      </c>
      <c r="E85" s="1">
        <v>847431.67</v>
      </c>
      <c r="F85" t="s">
        <v>2371</v>
      </c>
      <c r="G85" s="1">
        <v>0</v>
      </c>
      <c r="H85" s="1">
        <v>36154.17</v>
      </c>
      <c r="I85" s="1">
        <v>883585.84</v>
      </c>
      <c r="J85" t="s">
        <v>2371</v>
      </c>
      <c r="K85" s="1">
        <f t="shared" si="2"/>
        <v>-883585.84</v>
      </c>
      <c r="L85" s="1">
        <f>VLOOKUP(C85,'Balancete Dez-2016'!A:H,8,0)</f>
        <v>-883585.84</v>
      </c>
      <c r="M85" s="1">
        <f t="shared" si="3"/>
        <v>0</v>
      </c>
    </row>
    <row r="86" spans="2:13" x14ac:dyDescent="0.25">
      <c r="B86" t="s">
        <v>2369</v>
      </c>
      <c r="C86" t="s">
        <v>1187</v>
      </c>
      <c r="E86" s="1">
        <v>2719294.37</v>
      </c>
      <c r="F86" t="s">
        <v>2371</v>
      </c>
      <c r="G86" s="1">
        <v>0</v>
      </c>
      <c r="H86" s="1">
        <v>118230.19</v>
      </c>
      <c r="I86" s="1">
        <v>2837524.56</v>
      </c>
      <c r="J86" t="s">
        <v>2371</v>
      </c>
      <c r="K86" s="1">
        <f t="shared" si="2"/>
        <v>-2837524.56</v>
      </c>
      <c r="L86" s="1">
        <f>VLOOKUP(C86,'Balancete Dez-2016'!A:H,8,0)</f>
        <v>-2837524.56</v>
      </c>
      <c r="M86" s="1">
        <f t="shared" si="3"/>
        <v>0</v>
      </c>
    </row>
    <row r="87" spans="2:13" x14ac:dyDescent="0.25">
      <c r="B87" t="s">
        <v>2369</v>
      </c>
      <c r="C87" t="s">
        <v>517</v>
      </c>
      <c r="E87" s="1">
        <v>168062.31</v>
      </c>
      <c r="F87" t="s">
        <v>2371</v>
      </c>
      <c r="G87" s="1">
        <v>203832.59</v>
      </c>
      <c r="H87" s="1">
        <v>75893.36</v>
      </c>
      <c r="I87" s="1">
        <v>40123.08</v>
      </c>
      <c r="J87" t="s">
        <v>2371</v>
      </c>
      <c r="K87" s="1">
        <f>IF(AND(LEFT(C87,1)="1",J87="C"),-I87,IF(AND(LEFT(C87,1)="2",J87="C"),-I87,I87))</f>
        <v>-40123.08</v>
      </c>
      <c r="L87" s="1">
        <f>VLOOKUP(C87,'Balancete Dez-2016'!A:H,8,0)</f>
        <v>-40123.08</v>
      </c>
      <c r="M87" s="1">
        <f t="shared" si="3"/>
        <v>0</v>
      </c>
    </row>
    <row r="88" spans="2:13" x14ac:dyDescent="0.25">
      <c r="B88" t="s">
        <v>2369</v>
      </c>
      <c r="C88" t="s">
        <v>521</v>
      </c>
      <c r="E88" s="1">
        <v>114643422.14</v>
      </c>
      <c r="F88" t="s">
        <v>2371</v>
      </c>
      <c r="G88" s="1">
        <v>9588113.1300000008</v>
      </c>
      <c r="H88" s="1">
        <v>10270257.18</v>
      </c>
      <c r="I88" s="1">
        <v>115325566.19</v>
      </c>
      <c r="J88" t="s">
        <v>2371</v>
      </c>
      <c r="K88" s="1">
        <f t="shared" ref="K88:K129" si="4">IF(AND(LEFT(C88,1)="1",J88="C"),-I88,IF(AND(LEFT(C88,1)="2",J88="C"),-I88,I88))</f>
        <v>-115325566.19</v>
      </c>
      <c r="L88" s="1">
        <f>VLOOKUP(C88,'Balancete Dez-2016'!A:H,8,0)</f>
        <v>-115325566.19</v>
      </c>
      <c r="M88" s="1">
        <f t="shared" si="3"/>
        <v>0</v>
      </c>
    </row>
    <row r="89" spans="2:13" x14ac:dyDescent="0.25">
      <c r="B89" t="s">
        <v>2369</v>
      </c>
      <c r="C89" t="s">
        <v>527</v>
      </c>
      <c r="E89" s="1">
        <v>0</v>
      </c>
      <c r="F89" t="s">
        <v>2370</v>
      </c>
      <c r="G89" s="1">
        <v>1490251.54</v>
      </c>
      <c r="H89" s="1">
        <v>1490251.54</v>
      </c>
      <c r="I89" s="1">
        <v>0</v>
      </c>
      <c r="J89" t="s">
        <v>2370</v>
      </c>
      <c r="K89" s="1">
        <f t="shared" si="4"/>
        <v>0</v>
      </c>
      <c r="L89" s="1">
        <f>VLOOKUP(C89,'Balancete Dez-2016'!A:H,8,0)</f>
        <v>0</v>
      </c>
      <c r="M89" s="1">
        <f t="shared" si="3"/>
        <v>0</v>
      </c>
    </row>
    <row r="90" spans="2:13" x14ac:dyDescent="0.25">
      <c r="B90" t="s">
        <v>2369</v>
      </c>
      <c r="C90" t="s">
        <v>529</v>
      </c>
      <c r="E90" s="1">
        <v>0</v>
      </c>
      <c r="F90" t="s">
        <v>2370</v>
      </c>
      <c r="G90" s="1">
        <v>768263.6</v>
      </c>
      <c r="H90" s="1">
        <v>768263.6</v>
      </c>
      <c r="I90" s="1">
        <v>0</v>
      </c>
      <c r="J90" t="s">
        <v>2370</v>
      </c>
      <c r="K90" s="1">
        <f t="shared" si="4"/>
        <v>0</v>
      </c>
      <c r="L90" s="1">
        <f>VLOOKUP(C90,'Balancete Dez-2016'!A:H,8,0)</f>
        <v>0</v>
      </c>
      <c r="M90" s="1">
        <f t="shared" si="3"/>
        <v>0</v>
      </c>
    </row>
    <row r="91" spans="2:13" x14ac:dyDescent="0.25">
      <c r="B91" t="s">
        <v>2369</v>
      </c>
      <c r="C91" t="s">
        <v>533</v>
      </c>
      <c r="E91" s="1">
        <v>182.04</v>
      </c>
      <c r="F91" t="s">
        <v>2371</v>
      </c>
      <c r="G91" s="1">
        <v>48007.72</v>
      </c>
      <c r="H91" s="1">
        <v>48016.72</v>
      </c>
      <c r="I91" s="1">
        <v>191.04</v>
      </c>
      <c r="J91" t="s">
        <v>2371</v>
      </c>
      <c r="K91" s="1">
        <f t="shared" si="4"/>
        <v>-191.04</v>
      </c>
      <c r="L91" s="1">
        <f>VLOOKUP(C91,'Balancete Dez-2016'!A:H,8,0)</f>
        <v>-191.04</v>
      </c>
      <c r="M91" s="1">
        <f t="shared" si="3"/>
        <v>0</v>
      </c>
    </row>
    <row r="92" spans="2:13" x14ac:dyDescent="0.25">
      <c r="B92" t="s">
        <v>2369</v>
      </c>
      <c r="C92" t="s">
        <v>535</v>
      </c>
      <c r="E92" s="1">
        <v>466.61</v>
      </c>
      <c r="F92" t="s">
        <v>2371</v>
      </c>
      <c r="G92" s="1">
        <v>25450.57</v>
      </c>
      <c r="H92" s="1">
        <v>25450.97</v>
      </c>
      <c r="I92" s="1">
        <v>467.01</v>
      </c>
      <c r="J92" t="s">
        <v>2371</v>
      </c>
      <c r="K92" s="1">
        <f t="shared" si="4"/>
        <v>-467.01</v>
      </c>
      <c r="L92" s="1">
        <f>VLOOKUP(C92,'Balancete Dez-2016'!A:H,8,0)</f>
        <v>-467.01</v>
      </c>
      <c r="M92" s="1">
        <f t="shared" si="3"/>
        <v>0</v>
      </c>
    </row>
    <row r="93" spans="2:13" x14ac:dyDescent="0.25">
      <c r="B93" t="s">
        <v>2369</v>
      </c>
      <c r="C93" t="s">
        <v>539</v>
      </c>
      <c r="E93" s="1">
        <v>1039819.22</v>
      </c>
      <c r="F93" t="s">
        <v>2371</v>
      </c>
      <c r="G93" s="1">
        <v>1841368.45</v>
      </c>
      <c r="H93" s="1">
        <v>1754981.24</v>
      </c>
      <c r="I93" s="1">
        <v>953432.01</v>
      </c>
      <c r="J93" t="s">
        <v>2371</v>
      </c>
      <c r="K93" s="1">
        <f t="shared" si="4"/>
        <v>-953432.01</v>
      </c>
      <c r="L93" s="1">
        <f>VLOOKUP(C93,'Balancete Dez-2016'!A:H,8,0)</f>
        <v>-953432.01</v>
      </c>
      <c r="M93" s="1">
        <f t="shared" si="3"/>
        <v>0</v>
      </c>
    </row>
    <row r="94" spans="2:13" x14ac:dyDescent="0.25">
      <c r="B94" t="s">
        <v>2369</v>
      </c>
      <c r="C94" t="s">
        <v>541</v>
      </c>
      <c r="E94" s="1">
        <v>173020.87</v>
      </c>
      <c r="F94" t="s">
        <v>2371</v>
      </c>
      <c r="G94" s="1">
        <v>243163.21</v>
      </c>
      <c r="H94" s="1">
        <v>337440.8</v>
      </c>
      <c r="I94" s="1">
        <v>267298.46000000002</v>
      </c>
      <c r="J94" t="s">
        <v>2371</v>
      </c>
      <c r="K94" s="1">
        <f t="shared" si="4"/>
        <v>-267298.46000000002</v>
      </c>
      <c r="L94" s="1">
        <f>VLOOKUP(C94,'Balancete Dez-2016'!A:H,8,0)</f>
        <v>-267298.46000000002</v>
      </c>
      <c r="M94" s="1">
        <f t="shared" si="3"/>
        <v>0</v>
      </c>
    </row>
    <row r="95" spans="2:13" x14ac:dyDescent="0.25">
      <c r="B95" t="s">
        <v>2369</v>
      </c>
      <c r="C95" t="s">
        <v>545</v>
      </c>
      <c r="E95" s="1">
        <v>64616.72</v>
      </c>
      <c r="F95" t="s">
        <v>2371</v>
      </c>
      <c r="G95" s="1">
        <v>44724</v>
      </c>
      <c r="H95" s="1">
        <v>53254.16</v>
      </c>
      <c r="I95" s="1">
        <v>73146.880000000005</v>
      </c>
      <c r="J95" t="s">
        <v>2371</v>
      </c>
      <c r="K95" s="1">
        <f t="shared" si="4"/>
        <v>-73146.880000000005</v>
      </c>
      <c r="L95" s="1">
        <f>VLOOKUP(C95,'Balancete Dez-2016'!A:H,8,0)</f>
        <v>-73146.880000000005</v>
      </c>
      <c r="M95" s="1">
        <f t="shared" si="3"/>
        <v>0</v>
      </c>
    </row>
    <row r="96" spans="2:13" x14ac:dyDescent="0.25">
      <c r="B96" t="s">
        <v>2369</v>
      </c>
      <c r="C96" t="s">
        <v>549</v>
      </c>
      <c r="E96" s="1">
        <v>345954.68</v>
      </c>
      <c r="F96" t="s">
        <v>2371</v>
      </c>
      <c r="G96" s="1">
        <v>318813.67</v>
      </c>
      <c r="H96" s="1">
        <v>640935.93000000005</v>
      </c>
      <c r="I96" s="1">
        <v>668076.93999999994</v>
      </c>
      <c r="J96" t="s">
        <v>2371</v>
      </c>
      <c r="K96" s="1">
        <f t="shared" si="4"/>
        <v>-668076.93999999994</v>
      </c>
      <c r="L96" s="1">
        <f>VLOOKUP(C96,'Balancete Dez-2016'!A:H,8,0)</f>
        <v>-668076.93999999994</v>
      </c>
      <c r="M96" s="1">
        <f t="shared" si="3"/>
        <v>0</v>
      </c>
    </row>
    <row r="97" spans="2:13" x14ac:dyDescent="0.25">
      <c r="B97" t="s">
        <v>2369</v>
      </c>
      <c r="C97" t="s">
        <v>551</v>
      </c>
      <c r="E97" s="1">
        <v>215450.82</v>
      </c>
      <c r="F97" t="s">
        <v>2371</v>
      </c>
      <c r="G97" s="1">
        <v>225438.03</v>
      </c>
      <c r="H97" s="1">
        <v>260238.65</v>
      </c>
      <c r="I97" s="1">
        <v>250251.44</v>
      </c>
      <c r="J97" t="s">
        <v>2371</v>
      </c>
      <c r="K97" s="1">
        <f t="shared" si="4"/>
        <v>-250251.44</v>
      </c>
      <c r="L97" s="1">
        <f>VLOOKUP(C97,'Balancete Dez-2016'!A:H,8,0)</f>
        <v>-250251.44</v>
      </c>
      <c r="M97" s="1">
        <f t="shared" si="3"/>
        <v>0</v>
      </c>
    </row>
    <row r="98" spans="2:13" x14ac:dyDescent="0.25">
      <c r="B98" t="s">
        <v>2369</v>
      </c>
      <c r="C98" t="s">
        <v>553</v>
      </c>
      <c r="E98" s="1">
        <v>994784.26</v>
      </c>
      <c r="F98" t="s">
        <v>2371</v>
      </c>
      <c r="G98" s="1">
        <v>1040519.13</v>
      </c>
      <c r="H98" s="1">
        <v>1225469.03</v>
      </c>
      <c r="I98" s="1">
        <v>1179734.1599999999</v>
      </c>
      <c r="J98" t="s">
        <v>2371</v>
      </c>
      <c r="K98" s="1">
        <f t="shared" si="4"/>
        <v>-1179734.1599999999</v>
      </c>
      <c r="L98" s="1">
        <f>VLOOKUP(C98,'Balancete Dez-2016'!A:H,8,0)</f>
        <v>-1179734.1599999999</v>
      </c>
      <c r="M98" s="1">
        <f t="shared" si="3"/>
        <v>0</v>
      </c>
    </row>
    <row r="99" spans="2:13" x14ac:dyDescent="0.25">
      <c r="B99" t="s">
        <v>2369</v>
      </c>
      <c r="C99" t="s">
        <v>555</v>
      </c>
      <c r="E99" s="1">
        <v>149824.82</v>
      </c>
      <c r="F99" t="s">
        <v>2371</v>
      </c>
      <c r="G99" s="1">
        <v>133667.75</v>
      </c>
      <c r="H99" s="1">
        <v>336932.41</v>
      </c>
      <c r="I99" s="1">
        <v>353089.48</v>
      </c>
      <c r="J99" t="s">
        <v>2371</v>
      </c>
      <c r="K99" s="1">
        <f t="shared" si="4"/>
        <v>-353089.48</v>
      </c>
      <c r="L99" s="1">
        <f>VLOOKUP(C99,'Balancete Dez-2016'!A:H,8,0)</f>
        <v>-353089.48</v>
      </c>
      <c r="M99" s="1">
        <f t="shared" si="3"/>
        <v>0</v>
      </c>
    </row>
    <row r="100" spans="2:13" x14ac:dyDescent="0.25">
      <c r="B100" t="s">
        <v>2369</v>
      </c>
      <c r="C100" t="s">
        <v>557</v>
      </c>
      <c r="E100" s="1">
        <v>314465.87</v>
      </c>
      <c r="F100" t="s">
        <v>2371</v>
      </c>
      <c r="G100" s="1">
        <v>343192.63</v>
      </c>
      <c r="H100" s="1">
        <v>376894.59</v>
      </c>
      <c r="I100" s="1">
        <v>348167.83</v>
      </c>
      <c r="J100" t="s">
        <v>2371</v>
      </c>
      <c r="K100" s="1">
        <f t="shared" si="4"/>
        <v>-348167.83</v>
      </c>
      <c r="L100" s="1">
        <f>VLOOKUP(C100,'Balancete Dez-2016'!A:H,8,0)</f>
        <v>-348167.83</v>
      </c>
      <c r="M100" s="1">
        <f t="shared" si="3"/>
        <v>0</v>
      </c>
    </row>
    <row r="101" spans="2:13" x14ac:dyDescent="0.25">
      <c r="B101" t="s">
        <v>2369</v>
      </c>
      <c r="C101" t="s">
        <v>559</v>
      </c>
      <c r="E101" s="1">
        <v>280653.53999999998</v>
      </c>
      <c r="F101" t="s">
        <v>2371</v>
      </c>
      <c r="G101" s="1">
        <v>280653.53999999998</v>
      </c>
      <c r="H101" s="1">
        <v>0</v>
      </c>
      <c r="I101" s="1">
        <v>0</v>
      </c>
      <c r="J101" t="s">
        <v>2370</v>
      </c>
      <c r="K101" s="1">
        <f t="shared" si="4"/>
        <v>0</v>
      </c>
      <c r="L101" s="1">
        <f>VLOOKUP(C101,'Balancete Dez-2016'!A:H,8,0)</f>
        <v>0</v>
      </c>
      <c r="M101" s="1">
        <f t="shared" si="3"/>
        <v>0</v>
      </c>
    </row>
    <row r="102" spans="2:13" x14ac:dyDescent="0.25">
      <c r="B102" t="s">
        <v>2369</v>
      </c>
      <c r="C102" t="s">
        <v>561</v>
      </c>
      <c r="E102" s="1">
        <v>198782.09</v>
      </c>
      <c r="F102" t="s">
        <v>2371</v>
      </c>
      <c r="G102" s="1">
        <v>198782.09</v>
      </c>
      <c r="H102" s="1">
        <v>0</v>
      </c>
      <c r="I102" s="1">
        <v>0</v>
      </c>
      <c r="J102" t="s">
        <v>2370</v>
      </c>
      <c r="K102" s="1">
        <f t="shared" si="4"/>
        <v>0</v>
      </c>
      <c r="L102" s="1">
        <f>VLOOKUP(C102,'Balancete Dez-2016'!A:H,8,0)</f>
        <v>0</v>
      </c>
      <c r="M102" s="1">
        <f t="shared" si="3"/>
        <v>0</v>
      </c>
    </row>
    <row r="103" spans="2:13" x14ac:dyDescent="0.25">
      <c r="B103" t="s">
        <v>2369</v>
      </c>
      <c r="C103" t="s">
        <v>565</v>
      </c>
      <c r="E103" s="1">
        <v>163307.54</v>
      </c>
      <c r="F103" t="s">
        <v>2371</v>
      </c>
      <c r="G103" s="1">
        <v>176000.73</v>
      </c>
      <c r="H103" s="1">
        <v>203316.64</v>
      </c>
      <c r="I103" s="1">
        <v>190623.45</v>
      </c>
      <c r="J103" t="s">
        <v>2371</v>
      </c>
      <c r="K103" s="1">
        <f t="shared" si="4"/>
        <v>-190623.45</v>
      </c>
      <c r="L103" s="1">
        <f>VLOOKUP(C103,'Balancete Dez-2016'!A:H,8,0)</f>
        <v>-190623.45</v>
      </c>
      <c r="M103" s="1">
        <f t="shared" si="3"/>
        <v>0</v>
      </c>
    </row>
    <row r="104" spans="2:13" x14ac:dyDescent="0.25">
      <c r="B104" t="s">
        <v>2369</v>
      </c>
      <c r="C104" t="s">
        <v>1189</v>
      </c>
      <c r="E104" s="1">
        <v>0</v>
      </c>
      <c r="F104" t="s">
        <v>2370</v>
      </c>
      <c r="G104" s="1">
        <v>0</v>
      </c>
      <c r="H104" s="1">
        <v>730242.23</v>
      </c>
      <c r="I104" s="1">
        <v>730242.23</v>
      </c>
      <c r="J104" t="s">
        <v>2371</v>
      </c>
      <c r="K104" s="1">
        <f t="shared" si="4"/>
        <v>-730242.23</v>
      </c>
      <c r="L104" s="1">
        <f>VLOOKUP(C104,'Balancete Dez-2016'!A:H,8,0)</f>
        <v>-730242.23</v>
      </c>
      <c r="M104" s="1">
        <f t="shared" si="3"/>
        <v>0</v>
      </c>
    </row>
    <row r="105" spans="2:13" x14ac:dyDescent="0.25">
      <c r="B105" t="s">
        <v>2369</v>
      </c>
      <c r="C105" t="s">
        <v>1191</v>
      </c>
      <c r="E105" s="1">
        <v>77684.149999999994</v>
      </c>
      <c r="F105" t="s">
        <v>2371</v>
      </c>
      <c r="G105" s="1">
        <v>0</v>
      </c>
      <c r="H105" s="1">
        <v>269464.98</v>
      </c>
      <c r="I105" s="1">
        <v>347149.13</v>
      </c>
      <c r="J105" t="s">
        <v>2371</v>
      </c>
      <c r="K105" s="1">
        <f t="shared" si="4"/>
        <v>-347149.13</v>
      </c>
      <c r="L105" s="1">
        <f>VLOOKUP(C105,'Balancete Dez-2016'!A:H,8,0)</f>
        <v>-347149.13</v>
      </c>
      <c r="M105" s="1">
        <f t="shared" si="3"/>
        <v>0</v>
      </c>
    </row>
    <row r="106" spans="2:13" x14ac:dyDescent="0.25">
      <c r="B106" t="s">
        <v>2369</v>
      </c>
      <c r="C106" t="s">
        <v>573</v>
      </c>
      <c r="E106" s="1">
        <v>2881733</v>
      </c>
      <c r="F106" t="s">
        <v>2371</v>
      </c>
      <c r="G106" s="1">
        <v>161663.5</v>
      </c>
      <c r="H106" s="1">
        <v>381881.27</v>
      </c>
      <c r="I106" s="1">
        <v>3101950.77</v>
      </c>
      <c r="J106" t="s">
        <v>2371</v>
      </c>
      <c r="K106" s="1">
        <f t="shared" si="4"/>
        <v>-3101950.77</v>
      </c>
      <c r="L106" s="1">
        <f>VLOOKUP(C106,'Balancete Dez-2016'!A:H,8,0)</f>
        <v>-3101950.77</v>
      </c>
      <c r="M106" s="1">
        <f t="shared" si="3"/>
        <v>0</v>
      </c>
    </row>
    <row r="107" spans="2:13" x14ac:dyDescent="0.25">
      <c r="B107" t="s">
        <v>2369</v>
      </c>
      <c r="C107" t="s">
        <v>575</v>
      </c>
      <c r="E107" s="1">
        <v>697048.99</v>
      </c>
      <c r="F107" t="s">
        <v>2371</v>
      </c>
      <c r="G107" s="1">
        <v>30948.48</v>
      </c>
      <c r="H107" s="1">
        <v>104409.88</v>
      </c>
      <c r="I107" s="1">
        <v>770510.39</v>
      </c>
      <c r="J107" t="s">
        <v>2371</v>
      </c>
      <c r="K107" s="1">
        <f t="shared" si="4"/>
        <v>-770510.39</v>
      </c>
      <c r="L107" s="1">
        <f>VLOOKUP(C107,'Balancete Dez-2016'!A:H,8,0)</f>
        <v>-770510.39</v>
      </c>
      <c r="M107" s="1">
        <f t="shared" si="3"/>
        <v>0</v>
      </c>
    </row>
    <row r="108" spans="2:13" x14ac:dyDescent="0.25">
      <c r="B108" t="s">
        <v>2369</v>
      </c>
      <c r="C108" t="s">
        <v>577</v>
      </c>
      <c r="E108" s="1">
        <v>196919.99</v>
      </c>
      <c r="F108" t="s">
        <v>2371</v>
      </c>
      <c r="G108" s="1">
        <v>9284.94</v>
      </c>
      <c r="H108" s="1">
        <v>30948.47</v>
      </c>
      <c r="I108" s="1">
        <v>218583.52</v>
      </c>
      <c r="J108" t="s">
        <v>2371</v>
      </c>
      <c r="K108" s="1">
        <f t="shared" si="4"/>
        <v>-218583.52</v>
      </c>
      <c r="L108" s="1">
        <f>VLOOKUP(C108,'Balancete Dez-2016'!A:H,8,0)</f>
        <v>-218583.52</v>
      </c>
      <c r="M108" s="1">
        <f t="shared" si="3"/>
        <v>0</v>
      </c>
    </row>
    <row r="109" spans="2:13" x14ac:dyDescent="0.25">
      <c r="B109" t="s">
        <v>2369</v>
      </c>
      <c r="C109" t="s">
        <v>579</v>
      </c>
      <c r="E109" s="1">
        <v>1802209.05</v>
      </c>
      <c r="F109" t="s">
        <v>2371</v>
      </c>
      <c r="G109" s="1">
        <v>2060033.04</v>
      </c>
      <c r="H109" s="1">
        <v>257823.99</v>
      </c>
      <c r="I109" s="1">
        <v>0</v>
      </c>
      <c r="J109" t="s">
        <v>2370</v>
      </c>
      <c r="K109" s="1">
        <f t="shared" si="4"/>
        <v>0</v>
      </c>
      <c r="L109" s="1">
        <f>VLOOKUP(C109,'Balancete Dez-2016'!A:H,8,0)</f>
        <v>0</v>
      </c>
      <c r="M109" s="1">
        <f t="shared" si="3"/>
        <v>0</v>
      </c>
    </row>
    <row r="110" spans="2:13" x14ac:dyDescent="0.25">
      <c r="B110" t="s">
        <v>2369</v>
      </c>
      <c r="C110" t="s">
        <v>581</v>
      </c>
      <c r="E110" s="1">
        <v>478847.22</v>
      </c>
      <c r="F110" t="s">
        <v>2371</v>
      </c>
      <c r="G110" s="1">
        <v>563947.48</v>
      </c>
      <c r="H110" s="1">
        <v>85100.26</v>
      </c>
      <c r="I110" s="1">
        <v>0</v>
      </c>
      <c r="J110" t="s">
        <v>2370</v>
      </c>
      <c r="K110" s="1">
        <f t="shared" si="4"/>
        <v>0</v>
      </c>
      <c r="L110" s="1">
        <f>VLOOKUP(C110,'Balancete Dez-2016'!A:H,8,0)</f>
        <v>0</v>
      </c>
      <c r="M110" s="1">
        <f t="shared" si="3"/>
        <v>0</v>
      </c>
    </row>
    <row r="111" spans="2:13" x14ac:dyDescent="0.25">
      <c r="B111" t="s">
        <v>2369</v>
      </c>
      <c r="C111" t="s">
        <v>583</v>
      </c>
      <c r="E111" s="1">
        <v>140386.51999999999</v>
      </c>
      <c r="F111" t="s">
        <v>2371</v>
      </c>
      <c r="G111" s="1">
        <v>158716.76999999999</v>
      </c>
      <c r="H111" s="1">
        <v>18330.25</v>
      </c>
      <c r="I111" s="1">
        <v>0</v>
      </c>
      <c r="J111" t="s">
        <v>2370</v>
      </c>
      <c r="K111" s="1">
        <f t="shared" si="4"/>
        <v>0</v>
      </c>
      <c r="L111" s="1">
        <f>VLOOKUP(C111,'Balancete Dez-2016'!A:H,8,0)</f>
        <v>0</v>
      </c>
      <c r="M111" s="1">
        <f t="shared" si="3"/>
        <v>0</v>
      </c>
    </row>
    <row r="112" spans="2:13" x14ac:dyDescent="0.25">
      <c r="B112" t="s">
        <v>2369</v>
      </c>
      <c r="C112" t="s">
        <v>1193</v>
      </c>
      <c r="E112" s="1">
        <v>7408278.21</v>
      </c>
      <c r="F112" t="s">
        <v>2371</v>
      </c>
      <c r="G112" s="1">
        <v>8614909.0199999996</v>
      </c>
      <c r="H112" s="1">
        <v>1206630.81</v>
      </c>
      <c r="I112" s="1">
        <v>0</v>
      </c>
      <c r="J112" t="s">
        <v>2370</v>
      </c>
      <c r="K112" s="1">
        <f t="shared" si="4"/>
        <v>0</v>
      </c>
      <c r="L112" s="1">
        <f>VLOOKUP(C112,'Balancete Dez-2016'!A:H,8,0)</f>
        <v>0</v>
      </c>
      <c r="M112" s="1">
        <f t="shared" si="3"/>
        <v>0</v>
      </c>
    </row>
    <row r="113" spans="2:13" x14ac:dyDescent="0.25">
      <c r="B113" t="s">
        <v>2369</v>
      </c>
      <c r="C113" t="s">
        <v>1195</v>
      </c>
      <c r="E113" s="1">
        <v>2674900.15</v>
      </c>
      <c r="F113" t="s">
        <v>2371</v>
      </c>
      <c r="G113" s="1">
        <v>3110007.24</v>
      </c>
      <c r="H113" s="1">
        <v>435107.09</v>
      </c>
      <c r="I113" s="1">
        <v>0</v>
      </c>
      <c r="J113" t="s">
        <v>2370</v>
      </c>
      <c r="K113" s="1">
        <f t="shared" si="4"/>
        <v>0</v>
      </c>
      <c r="L113" s="1">
        <f>VLOOKUP(C113,'Balancete Dez-2016'!A:H,8,0)</f>
        <v>0</v>
      </c>
      <c r="M113" s="1">
        <f t="shared" si="3"/>
        <v>0</v>
      </c>
    </row>
    <row r="114" spans="2:13" x14ac:dyDescent="0.25">
      <c r="B114" t="s">
        <v>2369</v>
      </c>
      <c r="C114" t="s">
        <v>593</v>
      </c>
      <c r="E114" s="1">
        <v>2944389.7</v>
      </c>
      <c r="F114" t="s">
        <v>2371</v>
      </c>
      <c r="G114" s="1">
        <v>84162.75</v>
      </c>
      <c r="H114" s="1">
        <v>7450.96</v>
      </c>
      <c r="I114" s="1">
        <v>2867677.91</v>
      </c>
      <c r="J114" t="s">
        <v>2371</v>
      </c>
      <c r="K114" s="1">
        <f t="shared" si="4"/>
        <v>-2867677.91</v>
      </c>
      <c r="L114" s="1">
        <f>VLOOKUP(C114,'Balancete Dez-2016'!A:H,8,0)</f>
        <v>-2867677.91</v>
      </c>
      <c r="M114" s="1">
        <f t="shared" si="3"/>
        <v>0</v>
      </c>
    </row>
    <row r="115" spans="2:13" x14ac:dyDescent="0.25">
      <c r="B115" t="s">
        <v>2369</v>
      </c>
      <c r="C115" t="s">
        <v>597</v>
      </c>
      <c r="E115" s="1">
        <v>29083.01</v>
      </c>
      <c r="F115" t="s">
        <v>2371</v>
      </c>
      <c r="G115" s="1">
        <v>0</v>
      </c>
      <c r="H115" s="1">
        <v>51068.73</v>
      </c>
      <c r="I115" s="1">
        <v>80151.740000000005</v>
      </c>
      <c r="J115" t="s">
        <v>2371</v>
      </c>
      <c r="K115" s="1">
        <f t="shared" si="4"/>
        <v>-80151.740000000005</v>
      </c>
      <c r="L115" s="1">
        <f>VLOOKUP(C115,'Balancete Dez-2016'!A:H,8,0)</f>
        <v>-80151.740000000005</v>
      </c>
      <c r="M115" s="1">
        <f t="shared" si="3"/>
        <v>0</v>
      </c>
    </row>
    <row r="116" spans="2:13" x14ac:dyDescent="0.25">
      <c r="B116" t="s">
        <v>2369</v>
      </c>
      <c r="C116" t="s">
        <v>599</v>
      </c>
      <c r="E116" s="1">
        <v>74334.880000000005</v>
      </c>
      <c r="F116" t="s">
        <v>2371</v>
      </c>
      <c r="G116" s="1">
        <v>2901.51</v>
      </c>
      <c r="H116" s="1">
        <v>0</v>
      </c>
      <c r="I116" s="1">
        <v>71433.37</v>
      </c>
      <c r="J116" t="s">
        <v>2371</v>
      </c>
      <c r="K116" s="1">
        <f t="shared" si="4"/>
        <v>-71433.37</v>
      </c>
      <c r="L116" s="1">
        <f>VLOOKUP(C116,'Balancete Dez-2016'!A:H,8,0)</f>
        <v>-71433.37</v>
      </c>
      <c r="M116" s="1">
        <f t="shared" si="3"/>
        <v>0</v>
      </c>
    </row>
    <row r="117" spans="2:13" x14ac:dyDescent="0.25">
      <c r="B117" t="s">
        <v>2369</v>
      </c>
      <c r="C117" t="s">
        <v>603</v>
      </c>
      <c r="E117" s="1">
        <v>226146.52</v>
      </c>
      <c r="F117" t="s">
        <v>2371</v>
      </c>
      <c r="G117" s="1">
        <v>35078.17</v>
      </c>
      <c r="H117" s="1">
        <v>35078.17</v>
      </c>
      <c r="I117" s="1">
        <v>226146.52</v>
      </c>
      <c r="J117" t="s">
        <v>2371</v>
      </c>
      <c r="K117" s="1">
        <f t="shared" si="4"/>
        <v>-226146.52</v>
      </c>
      <c r="L117" s="1">
        <f>VLOOKUP(C117,'Balancete Dez-2016'!A:H,8,0)</f>
        <v>-226146.52</v>
      </c>
      <c r="M117" s="1">
        <f t="shared" si="3"/>
        <v>0</v>
      </c>
    </row>
    <row r="118" spans="2:13" x14ac:dyDescent="0.25">
      <c r="B118" t="s">
        <v>2369</v>
      </c>
      <c r="C118" t="s">
        <v>618</v>
      </c>
      <c r="E118" s="1">
        <v>0.3</v>
      </c>
      <c r="F118" t="s">
        <v>2371</v>
      </c>
      <c r="G118" s="1">
        <v>45877.75</v>
      </c>
      <c r="H118" s="1">
        <v>45877.75</v>
      </c>
      <c r="I118" s="1">
        <v>0.3</v>
      </c>
      <c r="J118" t="s">
        <v>2371</v>
      </c>
      <c r="K118" s="1">
        <f t="shared" si="4"/>
        <v>-0.3</v>
      </c>
      <c r="L118" s="1">
        <f>VLOOKUP(C118,'Balancete Dez-2016'!A:H,8,0)</f>
        <v>-0.3</v>
      </c>
      <c r="M118" s="1">
        <f t="shared" si="3"/>
        <v>0</v>
      </c>
    </row>
    <row r="119" spans="2:13" x14ac:dyDescent="0.25">
      <c r="B119" t="s">
        <v>2369</v>
      </c>
      <c r="C119" t="s">
        <v>640</v>
      </c>
      <c r="E119" s="1">
        <v>11770524.140000001</v>
      </c>
      <c r="F119" t="s">
        <v>2371</v>
      </c>
      <c r="G119" s="1">
        <v>0</v>
      </c>
      <c r="H119" s="1">
        <v>1052925.28</v>
      </c>
      <c r="I119" s="1">
        <v>12823449.42</v>
      </c>
      <c r="J119" t="s">
        <v>2371</v>
      </c>
      <c r="K119" s="1">
        <f t="shared" si="4"/>
        <v>-12823449.42</v>
      </c>
      <c r="L119" s="1">
        <f>VLOOKUP(C119,'Balancete Dez-2016'!A:H,8,0)</f>
        <v>-12823449.42</v>
      </c>
      <c r="M119" s="1">
        <f t="shared" si="3"/>
        <v>0</v>
      </c>
    </row>
    <row r="120" spans="2:13" x14ac:dyDescent="0.25">
      <c r="B120" t="s">
        <v>2369</v>
      </c>
      <c r="C120" t="s">
        <v>1052</v>
      </c>
      <c r="E120" s="1">
        <v>25784656.120000001</v>
      </c>
      <c r="F120" t="s">
        <v>2371</v>
      </c>
      <c r="G120" s="1">
        <v>38750</v>
      </c>
      <c r="H120" s="1">
        <v>267866.8</v>
      </c>
      <c r="I120" s="1">
        <v>26013772.920000002</v>
      </c>
      <c r="J120" t="s">
        <v>2371</v>
      </c>
      <c r="K120" s="1">
        <f t="shared" si="4"/>
        <v>-26013772.920000002</v>
      </c>
      <c r="L120" s="1">
        <f>VLOOKUP(C120,'Balancete Dez-2016'!A:H,8,0)</f>
        <v>-26013772.920000002</v>
      </c>
      <c r="M120" s="1">
        <f t="shared" si="3"/>
        <v>0</v>
      </c>
    </row>
    <row r="121" spans="2:13" x14ac:dyDescent="0.25">
      <c r="B121" t="s">
        <v>2369</v>
      </c>
      <c r="C121" t="s">
        <v>1199</v>
      </c>
      <c r="E121" s="1">
        <v>534794038.33999997</v>
      </c>
      <c r="F121" t="s">
        <v>2371</v>
      </c>
      <c r="G121" s="1">
        <v>462516.33</v>
      </c>
      <c r="H121" s="1">
        <v>0</v>
      </c>
      <c r="I121" s="1">
        <v>534331522.00999999</v>
      </c>
      <c r="J121" t="s">
        <v>2371</v>
      </c>
      <c r="K121" s="1">
        <f t="shared" si="4"/>
        <v>-534331522.00999999</v>
      </c>
      <c r="L121" s="1">
        <f>VLOOKUP(C121,'Balancete Dez-2016'!A:H,8,0)</f>
        <v>-534331522.00999999</v>
      </c>
      <c r="M121" s="1">
        <f t="shared" si="3"/>
        <v>0</v>
      </c>
    </row>
    <row r="122" spans="2:13" x14ac:dyDescent="0.25">
      <c r="B122" t="s">
        <v>2369</v>
      </c>
      <c r="C122" t="s">
        <v>1201</v>
      </c>
      <c r="E122" s="1">
        <v>192525853.84</v>
      </c>
      <c r="F122" t="s">
        <v>2371</v>
      </c>
      <c r="G122" s="1">
        <v>166505.88</v>
      </c>
      <c r="H122" s="1">
        <v>0</v>
      </c>
      <c r="I122" s="1">
        <v>192359347.96000001</v>
      </c>
      <c r="J122" t="s">
        <v>2371</v>
      </c>
      <c r="K122" s="1">
        <f t="shared" si="4"/>
        <v>-192359347.96000001</v>
      </c>
      <c r="L122" s="1">
        <f>VLOOKUP(C122,'Balancete Dez-2016'!A:H,8,0)</f>
        <v>-192359347.96000001</v>
      </c>
      <c r="M122" s="1">
        <f t="shared" si="3"/>
        <v>0</v>
      </c>
    </row>
    <row r="123" spans="2:13" x14ac:dyDescent="0.25">
      <c r="B123" t="s">
        <v>2369</v>
      </c>
      <c r="C123" t="s">
        <v>1205</v>
      </c>
      <c r="E123" s="1">
        <v>23715032.280000001</v>
      </c>
      <c r="F123" t="s">
        <v>2371</v>
      </c>
      <c r="G123" s="1">
        <v>0</v>
      </c>
      <c r="H123" s="1">
        <v>475750</v>
      </c>
      <c r="I123" s="1">
        <v>24190782.280000001</v>
      </c>
      <c r="J123" t="s">
        <v>2371</v>
      </c>
      <c r="K123" s="1">
        <f t="shared" si="4"/>
        <v>-24190782.280000001</v>
      </c>
      <c r="L123" s="1">
        <f>VLOOKUP(C123,'Balancete Dez-2016'!A:H,8,0)</f>
        <v>-24190782.280000001</v>
      </c>
      <c r="M123" s="1">
        <f t="shared" si="3"/>
        <v>0</v>
      </c>
    </row>
    <row r="124" spans="2:13" x14ac:dyDescent="0.25">
      <c r="B124" t="s">
        <v>2369</v>
      </c>
      <c r="C124" t="s">
        <v>1208</v>
      </c>
      <c r="E124" s="1">
        <v>18334237.140000001</v>
      </c>
      <c r="F124" t="s">
        <v>2370</v>
      </c>
      <c r="G124" s="1">
        <v>797140.02</v>
      </c>
      <c r="H124" s="1">
        <v>0</v>
      </c>
      <c r="I124" s="1">
        <v>19131377.16</v>
      </c>
      <c r="J124" t="s">
        <v>2370</v>
      </c>
      <c r="K124" s="1">
        <f t="shared" si="4"/>
        <v>19131377.16</v>
      </c>
      <c r="L124" s="1">
        <f>VLOOKUP(C124,'Balancete Dez-2016'!A:H,8,0)</f>
        <v>19131377.16</v>
      </c>
      <c r="M124" s="1">
        <f t="shared" si="3"/>
        <v>0</v>
      </c>
    </row>
    <row r="125" spans="2:13" x14ac:dyDescent="0.25">
      <c r="B125" t="s">
        <v>2369</v>
      </c>
      <c r="C125" t="s">
        <v>1210</v>
      </c>
      <c r="E125" s="1">
        <v>538619310.48000002</v>
      </c>
      <c r="F125" t="s">
        <v>2370</v>
      </c>
      <c r="G125" s="1">
        <v>0</v>
      </c>
      <c r="H125" s="1">
        <v>199285.01</v>
      </c>
      <c r="I125" s="1">
        <v>538420025.47000003</v>
      </c>
      <c r="J125" t="s">
        <v>2370</v>
      </c>
      <c r="K125" s="1">
        <f t="shared" si="4"/>
        <v>538420025.47000003</v>
      </c>
      <c r="L125" s="1">
        <f>VLOOKUP(C125,'Balancete Dez-2016'!A:H,8,0)</f>
        <v>538420025.47000003</v>
      </c>
      <c r="M125" s="1">
        <f t="shared" si="3"/>
        <v>0</v>
      </c>
    </row>
    <row r="126" spans="2:13" x14ac:dyDescent="0.25">
      <c r="B126" t="s">
        <v>2369</v>
      </c>
      <c r="C126" t="s">
        <v>1212</v>
      </c>
      <c r="E126" s="1">
        <v>193902951.81</v>
      </c>
      <c r="F126" t="s">
        <v>2370</v>
      </c>
      <c r="G126" s="1">
        <v>0</v>
      </c>
      <c r="H126" s="1">
        <v>71742.600000000006</v>
      </c>
      <c r="I126" s="1">
        <v>193831209.21000001</v>
      </c>
      <c r="J126" t="s">
        <v>2370</v>
      </c>
      <c r="K126" s="1">
        <f t="shared" si="4"/>
        <v>193831209.21000001</v>
      </c>
      <c r="L126" s="1">
        <f>VLOOKUP(C126,'Balancete Dez-2016'!A:H,8,0)</f>
        <v>193831209.21000001</v>
      </c>
      <c r="M126" s="1">
        <f t="shared" si="3"/>
        <v>0</v>
      </c>
    </row>
    <row r="127" spans="2:13" x14ac:dyDescent="0.25">
      <c r="B127" t="s">
        <v>2369</v>
      </c>
      <c r="C127" t="s">
        <v>1220</v>
      </c>
      <c r="E127" s="1">
        <v>8768540.2200000007</v>
      </c>
      <c r="F127" t="s">
        <v>2371</v>
      </c>
      <c r="G127" s="1">
        <v>0</v>
      </c>
      <c r="H127" s="1">
        <v>797140.02</v>
      </c>
      <c r="I127" s="1">
        <v>9565680.2400000002</v>
      </c>
      <c r="J127" t="s">
        <v>2371</v>
      </c>
      <c r="K127" s="1">
        <f t="shared" si="4"/>
        <v>-9565680.2400000002</v>
      </c>
      <c r="L127" s="1">
        <f>VLOOKUP(C127,'Balancete Dez-2016'!A:H,8,0)</f>
        <v>-9565680.2400000002</v>
      </c>
      <c r="M127" s="1">
        <f t="shared" si="3"/>
        <v>0</v>
      </c>
    </row>
    <row r="128" spans="2:13" x14ac:dyDescent="0.25">
      <c r="B128" t="s">
        <v>2369</v>
      </c>
      <c r="C128" t="s">
        <v>1222</v>
      </c>
      <c r="E128" s="1">
        <v>6233640.6500000004</v>
      </c>
      <c r="F128" t="s">
        <v>2370</v>
      </c>
      <c r="G128" s="1">
        <v>746777.61</v>
      </c>
      <c r="H128" s="1">
        <v>0</v>
      </c>
      <c r="I128" s="1">
        <v>6980418.2599999998</v>
      </c>
      <c r="J128" t="s">
        <v>2370</v>
      </c>
      <c r="K128" s="1">
        <f t="shared" si="4"/>
        <v>6980418.2599999998</v>
      </c>
      <c r="L128" s="1">
        <f>VLOOKUP(C128,'Balancete Dez-2016'!A:H,8,0)</f>
        <v>6980418.2599999998</v>
      </c>
      <c r="M128" s="1">
        <f t="shared" si="3"/>
        <v>0</v>
      </c>
    </row>
    <row r="129" spans="2:13" x14ac:dyDescent="0.25">
      <c r="B129" t="s">
        <v>2369</v>
      </c>
      <c r="C129" t="s">
        <v>1224</v>
      </c>
      <c r="E129" s="1">
        <v>12640278.48</v>
      </c>
      <c r="F129" t="s">
        <v>2371</v>
      </c>
      <c r="G129" s="1">
        <v>173375023.09999999</v>
      </c>
      <c r="H129" s="1">
        <v>186285209.87</v>
      </c>
      <c r="I129" s="1">
        <v>25550465.25</v>
      </c>
      <c r="J129" t="s">
        <v>2371</v>
      </c>
      <c r="K129" s="1">
        <f t="shared" si="4"/>
        <v>-25550465.25</v>
      </c>
      <c r="L129" s="1">
        <f>VLOOKUP(C129,'Balancete Dez-2016'!A:H,8,0)</f>
        <v>-12640278.48</v>
      </c>
      <c r="M129" s="1">
        <f t="shared" si="3"/>
        <v>-12910186.77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9F263-3CF1-4434-A9FB-1B13AA92E9FB}">
  <dimension ref="B2:I21"/>
  <sheetViews>
    <sheetView showGridLines="0" workbookViewId="0">
      <selection activeCell="C3" sqref="C3"/>
    </sheetView>
  </sheetViews>
  <sheetFormatPr defaultRowHeight="15" x14ac:dyDescent="0.25"/>
  <cols>
    <col min="2" max="2" width="29" customWidth="1"/>
    <col min="3" max="3" width="14.42578125" style="167" customWidth="1"/>
    <col min="4" max="4" width="12.7109375" customWidth="1"/>
    <col min="5" max="5" width="13.28515625" bestFit="1" customWidth="1"/>
    <col min="6" max="6" width="10.85546875" bestFit="1" customWidth="1"/>
  </cols>
  <sheetData>
    <row r="2" spans="2:9" x14ac:dyDescent="0.25">
      <c r="B2" s="170" t="s">
        <v>2388</v>
      </c>
      <c r="C2" s="172">
        <f>BP!H11</f>
        <v>43738</v>
      </c>
    </row>
    <row r="3" spans="2:9" x14ac:dyDescent="0.25">
      <c r="B3" s="170" t="s">
        <v>2389</v>
      </c>
      <c r="C3" s="173">
        <f>EOMONTH(C2,-3)</f>
        <v>43646</v>
      </c>
    </row>
    <row r="4" spans="2:9" x14ac:dyDescent="0.25">
      <c r="B4" s="170" t="s">
        <v>2390</v>
      </c>
      <c r="C4" s="173">
        <f>EOMONTH(C2,-MONTH(C2))</f>
        <v>43465</v>
      </c>
    </row>
    <row r="8" spans="2:9" x14ac:dyDescent="0.25">
      <c r="B8" s="168" t="s">
        <v>2391</v>
      </c>
      <c r="C8" s="169" t="s">
        <v>2393</v>
      </c>
      <c r="D8" s="168" t="s">
        <v>2394</v>
      </c>
      <c r="E8" s="168" t="s">
        <v>2384</v>
      </c>
      <c r="F8" s="168" t="s">
        <v>2395</v>
      </c>
    </row>
    <row r="9" spans="2:9" x14ac:dyDescent="0.25">
      <c r="B9" s="168" t="s">
        <v>2392</v>
      </c>
      <c r="C9" s="171">
        <f>BP!J109</f>
        <v>0</v>
      </c>
      <c r="D9" s="171" t="e">
        <f>BP!#REF!</f>
        <v>#REF!</v>
      </c>
      <c r="E9" s="171"/>
      <c r="F9" s="171">
        <f>BP!L109</f>
        <v>0</v>
      </c>
      <c r="G9" s="1"/>
      <c r="H9" s="1"/>
      <c r="I9" s="1"/>
    </row>
    <row r="10" spans="2:9" x14ac:dyDescent="0.25">
      <c r="B10" s="168" t="s">
        <v>2396</v>
      </c>
      <c r="C10" s="171">
        <f>DMPL!P114</f>
        <v>0</v>
      </c>
      <c r="D10" s="171"/>
      <c r="E10" s="171"/>
      <c r="F10" s="171">
        <f>DMPL!P99</f>
        <v>-31501545.229999542</v>
      </c>
      <c r="G10" s="1"/>
      <c r="H10" s="1"/>
      <c r="I10" s="1"/>
    </row>
    <row r="11" spans="2:9" x14ac:dyDescent="0.25">
      <c r="B11" s="168" t="s">
        <v>2397</v>
      </c>
      <c r="C11" s="171" t="e">
        <f>DFC!#REF!</f>
        <v>#REF!</v>
      </c>
      <c r="D11" s="171"/>
      <c r="E11" s="171">
        <f>DFC!I77</f>
        <v>0</v>
      </c>
      <c r="F11" s="171">
        <f>DFC!K77</f>
        <v>0</v>
      </c>
      <c r="G11" s="1"/>
      <c r="H11" s="1"/>
      <c r="I11" s="1"/>
    </row>
    <row r="12" spans="2:9" x14ac:dyDescent="0.25">
      <c r="C12" s="1"/>
      <c r="D12" s="1"/>
      <c r="E12" s="1"/>
      <c r="F12" s="1"/>
      <c r="G12" s="1"/>
      <c r="H12" s="1"/>
      <c r="I12" s="1"/>
    </row>
    <row r="13" spans="2:9" x14ac:dyDescent="0.25">
      <c r="C13" s="1"/>
      <c r="D13" s="1"/>
      <c r="E13" s="1"/>
      <c r="F13" s="1"/>
      <c r="G13" s="1"/>
      <c r="H13" s="1"/>
      <c r="I13" s="1"/>
    </row>
    <row r="14" spans="2:9" x14ac:dyDescent="0.25">
      <c r="C14" s="1"/>
      <c r="D14" s="1"/>
      <c r="E14" s="1"/>
      <c r="F14" s="1"/>
      <c r="G14" s="1"/>
      <c r="H14" s="1"/>
      <c r="I14" s="1"/>
    </row>
    <row r="15" spans="2:9" x14ac:dyDescent="0.25">
      <c r="C15" s="1"/>
      <c r="D15" s="1"/>
      <c r="E15" s="1"/>
      <c r="F15" s="1"/>
      <c r="G15" s="1"/>
      <c r="H15" s="1"/>
      <c r="I15" s="1"/>
    </row>
    <row r="16" spans="2:9" x14ac:dyDescent="0.25">
      <c r="C16" s="1"/>
      <c r="D16" s="1"/>
      <c r="E16" s="1"/>
      <c r="F16" s="1"/>
      <c r="G16" s="1"/>
      <c r="H16" s="1"/>
      <c r="I16" s="1"/>
    </row>
    <row r="17" spans="3:9" x14ac:dyDescent="0.25">
      <c r="C17" s="1"/>
      <c r="D17" s="1"/>
      <c r="E17" s="1"/>
      <c r="F17" s="1"/>
      <c r="G17" s="1"/>
      <c r="H17" s="1"/>
      <c r="I17" s="1"/>
    </row>
    <row r="18" spans="3:9" x14ac:dyDescent="0.25">
      <c r="C18" s="1"/>
      <c r="D18" s="1"/>
      <c r="E18" s="1"/>
      <c r="F18" s="1"/>
      <c r="G18" s="1"/>
      <c r="H18" s="1"/>
      <c r="I18" s="1"/>
    </row>
    <row r="19" spans="3:9" x14ac:dyDescent="0.25">
      <c r="C19" s="1"/>
      <c r="D19" s="1"/>
      <c r="E19" s="1"/>
      <c r="F19" s="1"/>
      <c r="G19" s="1"/>
      <c r="H19" s="1"/>
      <c r="I19" s="1"/>
    </row>
    <row r="20" spans="3:9" x14ac:dyDescent="0.25">
      <c r="C20" s="1"/>
      <c r="D20" s="1"/>
      <c r="E20" s="1"/>
      <c r="F20" s="1"/>
      <c r="G20" s="1"/>
      <c r="H20" s="1"/>
      <c r="I20" s="1"/>
    </row>
    <row r="21" spans="3:9" x14ac:dyDescent="0.25">
      <c r="C21" s="1"/>
      <c r="D21" s="1"/>
      <c r="E21" s="1"/>
      <c r="F21" s="1"/>
      <c r="G21" s="1"/>
      <c r="H21" s="1"/>
      <c r="I21" s="1"/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H1"/>
  <sheetViews>
    <sheetView topLeftCell="A567" zoomScale="80" zoomScaleNormal="80" workbookViewId="0">
      <selection activeCell="B611" sqref="B611"/>
    </sheetView>
  </sheetViews>
  <sheetFormatPr defaultRowHeight="15" x14ac:dyDescent="0.25"/>
  <cols>
    <col min="2" max="2" width="9.140625" style="52"/>
    <col min="3" max="3" width="9.140625" style="162"/>
    <col min="8" max="8" width="9.140625" style="6"/>
  </cols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0 6 1 9 1 1 4 9 - 9 e a 5 - 4 1 f 0 - 8 1 9 d - c 7 9 a 2 e a f 0 f 9 d "   x m l n s = " h t t p : / / s c h e m a s . m i c r o s o f t . c o m / D a t a M a s h u p " > A A A A A C c R A A B Q S w M E F A A C A A g A r 4 q K T / R H W v 2 o A A A A + Q A A A B I A H A B D b 2 5 m a W c v U G F j a 2 F n Z S 5 4 b W w g o h g A K K A U A A A A A A A A A A A A A A A A A A A A A A A A A A A A h Y / R C o I w G I V f R X b v N i e t k N 8 J d Z s Q B d G t 6 N K R T n G z + W 5 d 9 E i 9 Q k J Z 3 X V 5 D t + B 7 z x u d 0 j G p v a u s j e q 1 T E K M E W e 1 H l b K F 3 G a L B n f 4 U S A b s s v 2 S l 9 C Z Y m 2 g 0 K k a V t V 1 E i H M O u x C 3 f U k Y p Q E 5 p d t D X s k m 8 5 U 2 N t O 5 R J 9 V 8 X + F B B x f M o J h z v E i X H I c c M a A z D 2 k S n 8 Z N i l j C u S n h M 1 Q 2 6 G X o r P + e g 9 k j k D e N 8 Q T U E s D B B Q A A g A I A K + K i k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v i o p P i Z p W M B 0 O A A A I e Q A A E w A c A E Z v c m 1 1 b G F z L 1 N l Y 3 R p b 2 4 x L m 0 g o h g A K K A U A A A A A A A A A A A A A A A A A A A A A A A A A A A A 7 V 3 d b t v I F b 4 P k H c Y M D c y I C u i J P / t V g F k S W 6 1 9 Y 9 W U r Y L 2 E Y w l i Y x E Y p 0 + e P Y M f w A e 9 E X 6 F 3 b i 8 U u 0 K s + g l 6 s Z 2 Y o c k j O k J R k Z 7 M t j S C W h 6 M z 5 3 / O n I + i X D L 1 D N t C Y / 5 b / / b l i 5 c v 3 G v s k B n y r n r k s 7 6 L 2 s g k 3 g s E P 0 e 2 5 R H 4 u + v e 1 n r 2 1 J 8 T y 6 s c G S a p d e k V y 3 M r W v e b i 7 c u c d y L D y b 2 r 4 h T 6 3 R H F 2 c W 6 T n G L b l Y v s t 2 L 8 Y + v i E X j b q + e 3 G I T W x N i U f c C 7 2 x T Y d q k x 8 n 2 l b 1 v E d M Y 2 5 4 x G l r 3 2 h V 1 L V N f 2 6 5 7 W Y V 9 a 2 p P T O s D 2 2 9 s d O o o u 9 9 2 y N j 7 9 4 k 7 e h l 7 d S 2 y O V W l T H / S p s Y N z b q m E A N z 2 w N 5 J j g K 5 g 0 c b D l v r e d O a c + u b 8 h b o W J W n 1 4 0 P i g D o t 7 c A F 5 5 M 5 7 r K L l e E M x 3 o T x g e X t t m q U 3 O N j y M P i 7 6 Z n z G 0 X T b G D p 8 A K c Z F h g c K M m e 1 G P H V m M 0 6 o k m S 7 i m Q 0 Y J j g 6 T W a A B u 1 v j W r s B d H j j 2 v n A c S X M I 7 b 7 z t w x H o F e n 7 W w L j I X d 0 q o V d N C K 2 M y M W n m G B J z 7 o B D a o 5 M l S F X W n 4 F n Q Y q i 4 S F d D x 5 g T w 4 E 3 d a M F B t n K k k k A x C N S C p 2 N P e x 4 u V p r F t W a n q G 2 H L H i e l M w v p Y + Y 4 6 k 5 w S A Q i w a E v K 1 m V 4 s f w 4 x L / g 7 B A F x b r F p o x n X m h 2 6 S A F v Z y p I k 4 h Z 7 s S Y z U y S a 7 p W F e 0 W t V 4 j w 3 p Z A h U z n V S e t Q y a w Y t e O D w a c p 5 q + h p a b u h V 1 N S L q r m 5 n p r 1 j f S s k P S p 9 d 8 o r P + m g q v G G v q n O 6 G + V 1 T / r f X 0 3 3 g W / S s 0 s H m i a 6 y T 6 F o s 0 S l 4 W j n T N Q u k O l U Y N t d w g 9 0 D c I P C 2 W 5 n P T d o f l E 3 U G h m c / d o r u M e O y r 3 a C r d I 6 J i 2 X O S r K w s P C e R 1 h M M Z q y l 9 R a / X B m g U l Z 7 K p Q x x u b M R k e G h U 0 + T 6 V k P n F g G V M j Y y q z U 4 + 4 U 8 d Y / L z 4 l 6 2 a y J U / A 4 l n / m e 6 P b J 5 K j e h J w i s F Y u n V l 5 y D V X 8 V O X D f k s Z U T F j t X K 9 K V M s u a U L + F T o m b s Z w Z z g N B 6 + X P 9 J k y U s n f I R w Q O V o S 6 6 X 1 5 o p k 2 o q 8 N E K r 5 S h V r X W f w y Y 7 E S r X d s W N d A A c 6 w n h O P y T E x 4 U w 8 s j + 5 U s 8 K q y P q L 6 C 5 S / S H N 0 h D 4 o + G s D V D 4 m V d r 7 V a + 7 W D Z v N 1 v Z 6 + 3 B Z / 0 p f Z S z X x 8 d v O s I + 6 Z y f D 4 / 6 P 2 p Z E p X P 7 1 k j k H R g S F J r S R t J F s g 5 r c O a 3 w c T G Z 8 x 8 B X V m 4 C I 2 t U p e t C 7 5 A r o n 8 J L 1 B 9 D J 4 t f w h H Y e + N j l 9 v n S i J d Z Q b C X d f r K 4 J O J u 3 k Y h I 4 m E y i e j a M s w j J B 5 w Z n 9 i Y U X r + n 8 U 4 F Z 5 2 l s g m k 2 U f F l r e T m 6 T i 3 I j E o 2 Y H E H + Z b 3 v F O S T B T 1 w t i M z R i W G G 1 h c u X a L X S K / X 6 1 s v X x h W o e X T H a 2 9 Z + 9 o 7 Y k d r c P O c e e 0 2 5 / 0 t / V G z b v z Y D u x f N O s P t Q f + Q v a w F r Z D 4 L + 1 G M 1 t H a C x L E x v 8 l 2 p K S R A 1 p d k 2 B r 1 Q Q p r i k k R r 6 R s v Q k Z K Q k T V 1 B N J 2 O O G X L 9 r i T M 6 e E 3 T O 2 Z 8 f S Z B D C S I h e p P z p 0 G 3 D s J 1 w I I h p d / n 3 M r C X A 9 w x O 5 4 P o a w W r 1 F Q P L 2 Y f L E 8 f 4 Y G p 7 2 3 4 8 l o 0 D l G w 7 P R 5 G 1 n N D h j z I U u i C i Z x T + u D B M k x O b i 3 5 4 x t T P 4 b R b k t 1 G M 3 9 i m V 9 e 3 d x s Z a 7 c K r t 1 U e F n 7 y / 9 k S L N T U J p W M U 1 O z i Z g 5 R 4 Y f 7 T 4 q T e Y n I 0 z 1 t 4 t u P b O i m v 3 F j 8 d J p b m w b / s Y L I w c h G 8 C J r 3 k F 0 c + S 6 Q 5 p m u x N O S j I h Y t x 8 S y G Y k x A d i z C K Y W V c c f + c 3 T r A h A / E 4 5 4 q t q o B 0 L O 2 E l G N 8 H h P r g 3 d d O V e L d b k V q + / X b 5 1 m C 1 f 4 K C R o k n Z N 8 9 p J Q f W m q 8 v K 3 J Z p p L m n 6 W 2 G L K 3 Q 2 R S k p l 3 M x o 5 U 7 N U 7 f t m N z O K d P 4 G / 1 q 4 S w F m x 8 5 X T 5 f u K O 2 C C O n b V Z / P V e w j Z D S 8 p f 6 0 c / v b U 3 b i M 1 X Z W 5 q + l 4 G 8 n h 7 + D g u 6 U 3 y n L F E f h T j s J d 1 I 0 n V r F p h X p v w X Z o a F O W K n + W 3 g K f i p w M u S h O D a Z t Y O A A X O y d I F 2 S i 4 u + Z C 9 N w e V d 1 h t Z v Y F F / + Z 1 R K d w Q 1 a j a u 0 L 9 N t U 4 W 7 C Q 0 j x a z k w T W 7 w / l H x 7 + J N Z 8 2 a J m I b S j a Y 6 j F + i X G e 3 T O V r s E M h r E r X d N L B T 1 T r b D h g o i p k u K 9 l c C p 2 2 q A y e n u R J o Y N 3 W q Y Q T 6 p S i + I X 7 p F k A v a x P G v f s t A d v 1 C G q 5 T S H g j q 5 a 2 L X N d 4 b 0 8 R B 3 I b s k A H X p 5 k / o / L W O u 6 U W P Q W G r G V 0 z N u D Z d a L g h 8 h S d K O V q 5 i x O v e 8 W W T p q N e B + n U d f 3 J W 2 c I 9 u k k t E G z l q N m 3 2 h c Q M H a A i N w Q h 1 x 8 f H m v K c t S c 9 Z / H 2 j P J g d Q q J l 5 3 l / S v X M z y f e l B 0 n j r z g b S L M h q 3 f C V 1 4 3 Z v 6 b Q g X 6 y m v r U h J 6 E j 3 + L h K c S r s l W n 5 I a e 1 Z a B C k Q 7 z l 9 9 4 5 Z l x 0 i J S + u / K j C V d 9 K B 4 8 t 8 V a R a R u J p I 1 t I m q L z m U k m D 3 o Z 1 i M m R v 2 7 G w x x E 1 M Y H 2 O v c x W n F 9 U c J 8 3 p U Y 9 h u S l f j a 8 0 4 U J n b r v A B n j X W r f B Z Y u v u j 9 u n b Z 2 4 i 6 3 5 + 9 s J s 7 1 f c t z C I J N W y h q i O q O v F i 3 M / h T Q S D e s / A + E W K F T Q s 3 1 b V g / + l 7 6 v a F 5 f q m B 9 5 0 A p u N G d 8 H T o n r k d l 3 t i H p W q i Y e 8 h m / r E K 6 x A X p r H f 8 H f w o k q X + b N h z W p H v m m C p w t 9 C z Y j d B M 7 O 0 h k E t F N k a + C o o W X L 2 v x I h z U O b 1 m f Z k r b N w J i 0 E u N H v 2 J 7 p G k q G q j N Q K M F l 6 1 V w 9 b n 4 P X p h 1 H y L u A x e Z Y Y 8 8 x Z 0 G e o K 4 x q q S 7 D o q o 4 y S w f E P 2 r L S S Z + o V s Z i x T s 8 S 8 i h h B x K y K G E H E r I o Y Q c S s i h h B x K y K G E H E r I o Y Q c S s i h h B y + H O T A P g C a B A a k n w P d G J K I z t G / D T S x I m A g R y c 2 A w x C H i R N J E G Z s b 5 Y m t 1 q y m S P 1 d n Q n H q Y A g K y q 5 p 3 x a 4 L X b B j 8 t 4 L u m B L p o J J G z T C m I L C t c C 1 O h / A m z G v t g + H r 3 u j P p 0 h j v Z + 6 N C h x d 9 g x S m h L 0 9 t z o N p T L F n 3 L J 7 m 8 e v O z x v P C l B 0 R 6 J q G m p 4 z e t J l D 5 c j k p z U I f 0 5 S w I A S N X G 4 q x W 8 V U a p Q k B k j Z Q F B T e t C h b z 2 D j h L 4 o P 8 c + 1 5 K C K d x V X I r 1 A V i Q S S O k y j k C I C K B U k B Q I e P A M I e B C B g C X s V 8 J + J e x X w n 5 f B v b b L 2 G / E v Y r Y b 8 S 9 v u d w X 4 l 7 l f i f i X u V + J + J e 7 3 v 4 f 7 7 Z W 4 X 4 n 7 P R 3 u V 9 C d S t z v K 8 b 9 G i X u V + J + E t z v T R t p 9 R L 5 K 5 G / E v k r k b 9 i K J 0 U / C t B u r V B u s h Y G R / x W w W d l X / O T w R o R c x O Q j m O 2 H F r M 8 j u Z Q y z 6 9 9 N i V n r + o 4 D O v y L 7 X y 8 s u 2 P l a 0 H B p m 1 w 1 C 4 f A z B o l C c 9 Z 7 q v f S V W i p N L + k G I k a 7 S v w o P L B m 5 E 5 + u o i H j c 7 u l M o I k I z 4 k P B Q F a 0 s P K 5 M F C j p + K f Y Y 8 M j 7 B H D 5 g U C 9 t n b Q s P y L T S K M 7 U b y y 0 e i S O a X A p K P Q N m K z 5 x K w J t V 0 V U A / d I Q a i n + J Z 8 4 B r S 4 a 0 Z h B / q k Y e C m l L v j u t m i J 3 F P + f E c 7 h 6 U p p i W 5 l c h f A u j M 4 H L p C A C A G / + 9 4 n z n 3 b c 3 x S R Y e Q n p z 7 A R j E A 9 s S p y 2 l U U X U 5 d s a n 0 3 j I E F t R O A 9 w C m j e h l n X Q Q k b Z H 1 / h 2 Z 3 5 h J d F J i 8 t g j 1 4 r o I u u x a T z 0 H E T j s H A O k E K Y S 6 s l a K q l l 8 O x E o E L C b m F 2 m / C d z 6 T u p 5 c Z Z R g o D Y J 7 a V G G R V R j x y g k 3 h G U B D p l V c U 4 6 r Q + F 7 m U a T v N 6 E Y f D X z H U y / s a I C w 3 X + T 3 z k p X V L H I / 2 U C k Y H E D Y A k j o 2 P N j w / W W 9 2 u M I b 1 5 w H G N v T i 8 h 6 R 3 D Z t m B Z Z j u g v + 7 9 + B Y n / A p k / c W t 9 x 7 K h / e m T M 6 S G V 7 s x w o j W n v p n / F E c p i 3 E l 9 0 B 6 + m 0 O Z + 9 P g N F r O e 7 X 8 3 l y l i e 4 H o h p W F P q M n I m 1 8 I P p W v G e V 8 i u I o D 2 A r n L w F G f A g R Y n n I x p c Q f S 3 0 K Y m / U V e o U V 2 7 S l e N j g X q 6 i U s W z Z + f u T + R Q + 0 a t E 4 n t o E L l A g b n s I y Y W F O N v 0 X U Q n 1 u 5 M 9 0 4 L / Z Q m 6 m W t E b H 8 j i m a 7 b L A 0 8 P 5 w C P z t h Z d 1 6 r 0 J N P W 2 D R a Y 4 E u 8 H o F V n L R W K 0 l P x b / / u q t V Y 8 d / M R S + M S 1 Y c l F H 1 f x J Z z 0 4 G L o Q O S 7 G I 5 U o + F 3 i P C V 6 Z U M r 6 R z 3 o 2 v C f G S / s g e s x F 4 I p u Q 9 s Q u J M n F z 9 i 8 t l 0 E i 7 P E I z Z A 2 Z h H / g T p g t 5 l E 6 1 V R e f B t Y 5 p j q e w T T s u r 2 q 2 1 n J z J S s r f G M Q t u 7 Z c I B y J o f 5 7 J Z 8 e E c + v C s f 3 k s N B 6 C u f P q B f F i v K 8 Z 1 x X h K 0 m A 8 / d 1 I 2 f b V l Q Z O 5 4 E V z V z g T h w F S + s Y m r h A E / P n y S R V Q 0 M H E k V n m L z C g 4 y e z a T v W 8 n u I g f v Q r 7 F D i Z n g 6 Y F q H 8 W v 1 p T g 9 0 M I 5 g r z d O 7 J E z 3 L L 5 R 9 E H E y a 8 P k t y 6 Q b P S V k R 5 8 / t u E 8 9 J T x g 6 b t y 0 Q d N m U d o h r f m 0 h g b W e 3 Z v E c m 4 q e 0 Y u 9 5 p 5 k 2 + e o r u 0 I E 6 0 r j B h l x F H 4 2 b S j Y P I s 2 x f w U r 8 5 5 D o S d N S V e P d B e 2 j k V d X q L t + M A 7 i k E q + s j F i 1 8 p 7 8 n i d 3 k L X Z b A u T c X i F 9 j w V w C o y H + g M O 7 U 8 6 T 7 s A k j g + q J F 7 j F m u 5 D E L H N j J G w u e V / h y T K l 7 n q B k U q x 1 W e n y 1 1 Q 6 d K q 9 2 6 J W n r X a i t c p q 5 + u t d o Q r y f s M / u 8 K I R 4 D 8 W s s u H I K I d n 7 1 i u E W M z I C q G A j e K F E K P 0 f I V Q M b d 5 v h p p j R p A q I 7 S x c Q q R U p m B b B J T S G v U t Q 1 B b V x r K b g 7 q P a Y V f Y 8 u U l B e J u q N 7 0 u d M l N n 3 G 5 T O V O c l w T 9 c 5 q x f T 0 k a f r K S I p Q Z l h M Z 1 V q y k 0 L 7 9 L 1 B L A Q I t A B Q A A g A I A K + K i k / 0 R 1 r 9 q A A A A P k A A A A S A A A A A A A A A A A A A A A A A A A A A A B D b 2 5 m a W c v U G F j a 2 F n Z S 5 4 b W x Q S w E C L Q A U A A I A C A C v i o p P D 8 r p q 6 Q A A A D p A A A A E w A A A A A A A A A A A A A A A A D 0 A A A A W 0 N v b n R l b n R f V H l w Z X N d L n h t b F B L A Q I t A B Q A A g A I A K + K i k + J m l Y w H Q 4 A A A h 5 A A A T A A A A A A A A A A A A A A A A A O U B A A B G b 3 J t d W x h c y 9 T Z W N 0 a W 9 u M S 5 t U E s F B g A A A A A D A A M A w g A A A E 8 Q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z b A A A A A A A A G t s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B Z 0 F B Q U F B Q U F B Q W J N b m 1 m d H o 2 d V E 0 V H A w U m t Q M D M w O E l W U n l Z V z V 6 W m 0 5 e W J X R n l J R U Z 5 Y 1 h W c G R t O G d a R 1 V n U W 1 G c 1 l X N W p a W F J s Y 3 d B Q U F B Q U F B Q U F B Q U F B e W k 3 M U h R U 1 p h U U x v N V d s W l d t Y V B a R T B O d m J u T j F i S F J o S U d S b E l F V j R a V z F 3 Y k c 4 Q U F S c 3 l l W i s z U H E 1 R G h P b l J H U S 9 U Z l R 3 Q U F B Q U E i I C 8 + P C 9 T d G F i b G V F b n R y a W V z P j w v S X R l b T 4 8 S X R l b T 4 8 S X R l b U x v Y 2 F 0 a W 9 u P j x J d G V t V H l w Z T 5 G b 3 J t d W x h P C 9 J d G V t V H l w Z T 4 8 S X R l b V B h d G g + U 2 V j d G l v b j E v d G J E Z X o x N j w v S X R l b V B h d G g + P C 9 J d G V t T G 9 j Y X R p b 2 4 + P F N 0 Y W J s Z U V u d H J p Z X M + P E V u d H J 5 I F R 5 c G U 9 I k l z U H J p d m F 0 Z S I g V m F s d W U 9 I m w w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0 V 4 Y 2 V w d G l v b i I g L z 4 8 R W 5 0 c n k g V H l w Z T 0 i T m F t Z V V w Z G F 0 Z W R B Z n R l c k Z p b G w i I F Z h b H V l P S J s M C I g L z 4 8 R W 5 0 c n k g V H l w Z T 0 i R m l s b F N 0 Y X R 1 c y I g V m F s d W U 9 I n N D b 2 1 w b G V 0 Z S I g L z 4 8 R W 5 0 c n k g V H l w Z T 0 i R m l s b E N v d W 5 0 I i B W Y W x 1 Z T 0 i b D Q z N S I g L z 4 8 R W 5 0 c n k g V H l w Z T 0 i R m l s b E V y c m 9 y Q 2 9 1 b n Q i I F Z h b H V l P S J s M C I g L z 4 8 R W 5 0 c n k g V H l w Z T 0 i R m l s b E N v b H V t b l R 5 c G V z I i B W Y W x 1 Z T 0 i c 0 J n W U d C U V V G Q U F V Q S I g L z 4 8 R W 5 0 c n k g V H l w Z T 0 i R m l s b E N v b H V t b k 5 h b W V z I i B W Y W x 1 Z T 0 i c 1 s m c X V v d D t D b 2 5 0 Y S Z x d W 9 0 O y w m c X V v d D t D b 2 Q g U m V k d X p p Z G 8 m c X V v d D s s J n F 1 b 3 Q 7 R G V z Y 3 J p w 6 f D o 2 8 m c X V v d D s s J n F 1 b 3 Q 7 U 2 F s Z G 8 g S W 5 p Y 2 l h b C Z x d W 9 0 O y w m c X V v d D t E w 6 l i a X R v J n F 1 b 3 Q 7 L C Z x d W 9 0 O 0 N y w 6 l k a X R v J n F 1 b 3 Q 7 L C Z x d W 9 0 O 0 1 v d m l t Z W 5 0 b y B N w 6 p z J n F 1 b 3 Q 7 L C Z x d W 9 0 O 1 N h b G R v I E Z p b m F s J n F 1 b 3 Q 7 L C Z x d W 9 0 O 1 N h b G R v I E Z p b m F s I G V t I E 1 p b C Z x d W 9 0 O 1 0 i I C 8 + P E V u d H J 5 I F R 5 c G U 9 I k Z p b G x F c n J v c k N v Z G U i I F Z h b H V l P S J z V W 5 r b m 9 3 b i I g L z 4 8 R W 5 0 c n k g V H l w Z T 0 i R m l s b E x h c 3 R V c G R h d G V k I i B W Y W x 1 Z T 0 i Z D I w M T c t M D Q t M T l U M T I 6 M T I 6 M T E u M T E 4 N j Y 0 M V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0 J h b G F u Y 2 V 0 Z S B E Z X o t M j A x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J E Z X o x N i 9 U a X B v I E F s d G V y Y W R v N S 5 7 Q 2 9 u d G E s M H 0 m c X V v d D s s J n F 1 b 3 Q 7 U 2 V j d G l v b j E v d G J E Z X o x N i 9 J b n R l c n Z h b G 8 g Z G U g d G V 4 d G 8 g a W 5 z Z X J p Z G 8 u e 0 l u d G V y d m F s b y B k Z S B 0 Z X h 0 b y w 1 f S Z x d W 9 0 O y w m c X V v d D t T Z W N 0 a W 9 u M S 9 0 Y k R l e j E 2 L 0 l u d G V y d m F s b y B k Z S B 0 Z X h 0 b y B p b n N l c m l k b z E u e 0 l u d G V y d m F s b y B k Z S B 0 Z X h 0 b y 4 x L D Z 9 J n F 1 b 3 Q 7 L C Z x d W 9 0 O 1 N l Y 3 R p b 2 4 x L 3 R i R G V 6 M T Y v V G l w b y B B b H R l c m F k b z I u e 0 l u d G V y d m F s b y B k Z S B 0 Z X h 0 b y 4 y L D R 9 J n F 1 b 3 Q 7 L C Z x d W 9 0 O 1 N l Y 3 R p b 2 4 x L 3 R i R G V 6 M T Y v V G l w b y B B b H R l c m F k b z M u e 0 l u d G V y d m F s b y B k Z S B 0 Z X h 0 b y 4 z L D V 9 J n F 1 b 3 Q 7 L C Z x d W 9 0 O 1 N l Y 3 R p b 2 4 x L 3 R i R G V 6 M T Y v V G l w b y B B b H R l c m F k b z Q u e 0 l u d G V y d m F s b y B k Z S B 0 Z X h 0 b y w 5 f S Z x d W 9 0 O y w m c X V v d D t T Z W N 0 a W 9 u M S 9 0 Y k R l e j E 2 L 1 B l c n N v b m F s a X p h w 6 f D o 2 8 g Q W R p Y 2 l v b m F k Y S 5 7 T W 9 2 a W 1 l b n R v I E 3 D q n M s N 3 0 m c X V v d D s s J n F 1 b 3 Q 7 U 2 V j d G l v b j E v d G J E Z X o x N i 9 U a X B v I E F s d G V y Y W R v M S 5 7 w 5 p s d G l t b 3 M g Y 2 F y Y W N 0 Z X J l c y w y f S Z x d W 9 0 O y w m c X V v d D t T Z W N 0 a W 9 u M S 9 0 Y k R l e j E 2 L 1 B l c n N v b m F s a X p h w 6 f D o 2 8 g Q W R p Y 2 l v b m F k Y T E u e 1 N h b G R v I E Z p b m F s I G V t I E 1 p b C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0 Y k R l e j E 2 L 1 R p c G 8 g Q W x 0 Z X J h Z G 8 1 L n t D b 2 5 0 Y S w w f S Z x d W 9 0 O y w m c X V v d D t T Z W N 0 a W 9 u M S 9 0 Y k R l e j E 2 L 0 l u d G V y d m F s b y B k Z S B 0 Z X h 0 b y B p b n N l c m l k b y 5 7 S W 5 0 Z X J 2 Y W x v I G R l I H R l e H R v L D V 9 J n F 1 b 3 Q 7 L C Z x d W 9 0 O 1 N l Y 3 R p b 2 4 x L 3 R i R G V 6 M T Y v S W 5 0 Z X J 2 Y W x v I G R l I H R l e H R v I G l u c 2 V y a W R v M S 5 7 S W 5 0 Z X J 2 Y W x v I G R l I H R l e H R v L j E s N n 0 m c X V v d D s s J n F 1 b 3 Q 7 U 2 V j d G l v b j E v d G J E Z X o x N i 9 U a X B v I E F s d G V y Y W R v M i 5 7 S W 5 0 Z X J 2 Y W x v I G R l I H R l e H R v L j I s N H 0 m c X V v d D s s J n F 1 b 3 Q 7 U 2 V j d G l v b j E v d G J E Z X o x N i 9 U a X B v I E F s d G V y Y W R v M y 5 7 S W 5 0 Z X J 2 Y W x v I G R l I H R l e H R v L j M s N X 0 m c X V v d D s s J n F 1 b 3 Q 7 U 2 V j d G l v b j E v d G J E Z X o x N i 9 U a X B v I E F s d G V y Y W R v N C 5 7 S W 5 0 Z X J 2 Y W x v I G R l I H R l e H R v L D l 9 J n F 1 b 3 Q 7 L C Z x d W 9 0 O 1 N l Y 3 R p b 2 4 x L 3 R i R G V 6 M T Y v U G V y c 2 9 u Y W x p e m H D p 8 O j b y B B Z G l j a W 9 u Y W R h L n t N b 3 Z p b W V u d G 8 g T c O q c y w 3 f S Z x d W 9 0 O y w m c X V v d D t T Z W N 0 a W 9 u M S 9 0 Y k R l e j E 2 L 1 R p c G 8 g Q W x 0 Z X J h Z G 8 x L n v D m m x 0 a W 1 v c y B j Y X J h Y 3 R l c m V z L D J 9 J n F 1 b 3 Q 7 L C Z x d W 9 0 O 1 N l Y 3 R p b 2 4 x L 3 R i R G V 6 M T Y v U G V y c 2 9 u Y W x p e m H D p 8 O j b y B B Z G l j a W 9 u Y W R h M S 5 7 U 2 F s Z G 8 g R m l u Y W w g Z W 0 g T W l s L D h 9 J n F 1 b 3 Q 7 X S w m c X V v d D t S Z W x h d G l v b n N o a X B J b m Z v J n F 1 b 3 Q 7 O l t d f S I g L z 4 8 R W 5 0 c n k g V H l w Z T 0 i U X V l c n l J R C I g V m F s d W U 9 I n M z N z R l M j A 2 Z S 1 m Z T I z L T R k Y j M t Y W Y z O S 1 j Z m Q x Z D I 5 N W I 2 Y T U i I C 8 + P E V u d H J 5 I F R 5 c G U 9 I k Z p b G x U Y X J n Z X Q i I F Z h b H V l P S J z d G J E Z X o x N i I g L z 4 8 R W 5 0 c n k g V H l w Z T 0 i T m F 2 a W d h d G l v b l N 0 Z X B O Y W 1 l I i B W Y W x 1 Z T 0 i c 0 5 h d m V n Y c O n w 6 N v I i A v P j w v U 3 R h Y m x l R W 5 0 c m l l c z 4 8 L 0 l 0 Z W 0 + P E l 0 Z W 0 + P E l 0 Z W 1 M b 2 N h d G l v b j 4 8 S X R l b V R 5 c G U + R m 9 y b X V s Y T w v S X R l b V R 5 c G U + P E l 0 Z W 1 Q Y X R o P l N l Y 3 R p b 2 4 x L 3 R i R G V 6 M T Y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2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Y v J U M z J T l B b H R p b W 9 z J T I w Y 2 F y Y W N 0 Z X J l c y U y M G l u c 2 V y a W R v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Y v Q 2 9 s d W 5 h c y U y M F J l b 3 J k Z W 5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E Z X o x N i 9 Q c m l t Z W l y b 3 M l M j B D Y X J h Y 3 R l c m V z J T I w S W 5 z Z X J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E Z X o x N i 9 D b 2 x 1 b m F z J T I w U m V v c m R l b m F k Y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E Z X o x N i 9 U a X B v J T I w Q W x 0 Z X J h Z G 8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E Z X o x N i 9 J b n R l c n Z h b G 8 l M j B k Z S U y M H R l e H R v J T I w a W 5 z Z X J p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2 L 0 N v b H V u Y X M l M j B S Z W 9 y Z G V u Y W R h c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2 L 0 l u d G V y d m F s b y U y M G R l J T I w d G V 4 d G 8 l M j B p b n N l c m l k b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2 L 0 N v b H V u Y X M l M j B S Z W 9 y Z G V u Y W R h c z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2 L 0 l u d G V y d m F s b y U y M G R l J T I w d G V 4 d G 8 l M j B p b n N l c m l k b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2 L 0 N v b H V u Y X M l M j B S Z W 9 y Z G V u Y W R h c z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2 L 1 R p c G 8 l M j B B b H R l c m F k b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2 L 0 l u d G V y d m F s b y U y M G R l J T I w d G V 4 d G 8 l M j B p b n N l c m l k b z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2 L 0 N v b H V u Y X M l M j B S Z W 9 y Z G V u Y W R h c z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2 L 1 R p c G 8 l M j B B b H R l c m F k b z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2 L 0 N v b H V u Y X M l M j B S Z W 5 v b W V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E Z X o x N i 9 J b n R l c n Z h b G 8 l M j B k Z S U y M H R l e H R v J T I w a W 5 z Z X J p Z G 8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E Z X o x N i 9 U a X B v J T I w Q W x 0 Z X J h Z G 8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E Z X o x N i 9 D b 2 x 1 b m F z J T I w U m V v c m R l b m F k Y X M 2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E Z X o x N i 9 D b 2 x 1 b m F z J T I w U m V u b 2 1 l Y W R h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2 L 0 x p b m h h c y U y M E Z p b H R y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Y v Q 2 9 s d W 5 h c y U y M F J l b W 9 2 a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Y v U G V y c 2 9 u Y W x p e m E l Q z M l Q T c l Q z M l Q T N v J T I w Q W R p Y 2 l v b m F k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Y v Q 2 9 s d W 5 h c y U y M F J l b 3 J k Z W 5 h Z G F z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Y v V G V 4 d G 8 l M j B B c G F y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E Z X o x N i 9 U a X B v J T I w Q W x 0 Z X J h Z G 8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E Z X o x N i 9 Q Z X J z b 2 5 h b G l 6 Y S V D M y V B N y V D M y V B M 2 8 l M j B B Z G l j a W 9 u Y W R h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8 L 0 l 0 Z W 1 Q Y X R o P j w v S X R l b U x v Y 2 F 0 a W 9 u P j x T d G F i b G V F b n R y a W V z P j x F b n R y e S B U e X B l P S J J c 1 B y a X Z h d G U i I F Z h b H V l P S J s M C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Z p b G x F c n J v c k N v Z G U i I F Z h b H V l P S J z V W 5 r b m 9 3 b i I g L z 4 8 R W 5 0 c n k g V H l w Z T 0 i R m l s b E N v b H V t b l R 5 c G V z I i B W Y W x 1 Z T 0 i c 0 J n W U d C U V V G Q l F V R i I g L z 4 8 R W 5 0 c n k g V H l w Z T 0 i R m l s b E N v b H V t b k 5 h b W V z I i B W Y W x 1 Z T 0 i c 1 s m c X V v d D t D b 2 5 0 Y S B D b 2 5 0 w 6 F i a W w m c X V v d D s s J n F 1 b 3 Q 7 Q 8 O z Z C 4 g U m V k d X p p Z G 8 m c X V v d D s s J n F 1 b 3 Q 7 R G V z Y 3 J p w 6 f D o 2 8 m c X V v d D s s J n F 1 b 3 Q 7 U 2 F s Z G 8 g S W 5 p Y 2 l h b C Z x d W 9 0 O y w m c X V v d D t E w 6 l i a X R v J n F 1 b 3 Q 7 L C Z x d W 9 0 O 0 N y w 6 l k a X R v J n F 1 b 3 Q 7 L C Z x d W 9 0 O 0 1 v d i 4 g T c O q c y Z x d W 9 0 O y w m c X V v d D t T Y W x k b y B G a W 5 h b C Z x d W 9 0 O y w m c X V v d D t T Y W x k b y B G a W 5 h b C B l b S B N a W w m c X V v d D t d I i A v P j x F b n R y e S B U e X B l P S J G a W x s T G F z d F V w Z G F 0 Z W Q i I F Z h b H V l P S J k M j A x O C 0 x M S 0 x O V Q x N j o w N T o w N i 4 x O D U z M D U 2 W i I g L z 4 8 R W 5 0 c n k g V H l w Z T 0 i R m l s b G V k Q 2 9 t c G x l d G V S Z X N 1 b H R U b 1 d v c m t z a G V l d C I g V m F s d W U 9 I m w x I i A v P j x F b n R y e S B U e X B l P S J G a W x s R X J y b 3 J D b 3 V u d C I g V m F s d W U 9 I m w w I i A v P j x F b n R y e S B U e X B l P S J S Z W N v d m V y e V R h c m d l d F N o Z W V 0 I i B W Y W x 1 Z T 0 i c 0 J h b G F u Y 2 V 0 Z S B E Z X o t M j A x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F N 0 Y X R 1 c y I g V m F s d W U 9 I n N D b 2 1 w b G V 0 Z S I g L z 4 8 R W 5 0 c n k g V H l w Z T 0 i U X V l c n l J R C I g V m F s d W U 9 I n M 3 M m R h Y W Q 2 Y i 1 k Z W Q y L T R h Y j I t O D F k Z i 0 z O T E 5 N z g 5 M 2 E 4 Y m Q i I C 8 + P E V u d H J 5 I F R 5 c G U 9 I k x v Y W R l Z F R v Q W 5 h b H l z a X N T Z X J 2 a W N l c y I g V m F s d W U 9 I m w w I i A v P j x F b n R y e S B U e X B l P S J G a W x s Q 2 9 1 b n Q i I F Z h b H V l P S J s N D g y I i A v P j x F b n R y e S B U e X B l P S J O Y X Z p Z 2 F 0 a W 9 u U 3 R l c E 5 h b W U i I F Z h b H V l P S J z T m F 2 Z W d h w 6 f D o 2 8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J E Z X o x N y 9 U Z X h 0 b y B J b n N l c m l k b y B B b n R l c y B k b y B E Z W x p b W l 0 Y W R v c i 5 7 V G V 4 d G 8 g Q W 5 0 Z X M g Z G 8 g R G V s a W 1 p d G F k b 3 I s M X 0 m c X V v d D s s J n F 1 b 3 Q 7 U 2 V j d G l v b j E v d G J E Z X o x N y 9 J b n R l c n Z h b G 8 g Z G U g d G V 4 d G 8 g a W 5 z Z X J p Z G 8 u e 0 l u d G V y d m F s b y B k Z S B 0 Z X h 0 b y w z f S Z x d W 9 0 O y w m c X V v d D t T Z W N 0 a W 9 u M S 9 0 Y k R l e j E 3 L 0 l u d G V y d m F s b y B k Z S B 0 Z X h 0 b y B p b n N l c m l k b z E u e 0 l u d G V y d m F s b y B k Z S B 0 Z X h 0 b y 4 x L D N 9 J n F 1 b 3 Q 7 L C Z x d W 9 0 O 1 N l Y 3 R p b 2 4 x L 3 R i R G V 6 M T c v V G l w b y B B b H R l c m F k b z I u e 0 l u d G V y d m F s b y B k Z S B 0 Z X h 0 b y 4 y L D R 9 J n F 1 b 3 Q 7 L C Z x d W 9 0 O 1 N l Y 3 R p b 2 4 x L 3 R i R G V 6 M T c v V G l w b y B B b H R l c m F k b z M u e 0 l u d G V y d m F s b y B k Z S B 0 Z X h 0 b y 4 z L D V 9 J n F 1 b 3 Q 7 L C Z x d W 9 0 O 1 N l Y 3 R p b 2 4 x L 3 R i R G V 6 M T c v V G l w b y B B b H R l c m F k b z M u e 0 l u d G V y d m F s b y B k Z S B 0 Z X h 0 b y 4 0 L D Z 9 J n F 1 b 3 Q 7 L C Z x d W 9 0 O 1 N l Y 3 R p b 2 4 x L 3 R i R G V 6 M T c v V G l w b y B B b H R l c m F k b z Q u e 0 1 v d i 4 g T c O q c y w 3 f S Z x d W 9 0 O y w m c X V v d D t T Z W N 0 a W 9 u M S 9 0 Y k R l e j E 3 L 1 R p c G 8 g Q W x 0 Z X J h Z G 8 z L n t J b n R l c n Z h b G 8 g Z G U g d G V 4 d G 8 u N S w 3 f S Z x d W 9 0 O y w m c X V v d D t T Z W N 0 a W 9 u M S 9 0 Y k R l e j E 3 L 0 R p d m l z w 6 N v I E l u c 2 V y a W R h L n t T Y W x k b y B G a W 5 h b C B l b S B N a W w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d G J E Z X o x N y 9 U Z X h 0 b y B J b n N l c m l k b y B B b n R l c y B k b y B E Z W x p b W l 0 Y W R v c i 5 7 V G V 4 d G 8 g Q W 5 0 Z X M g Z G 8 g R G V s a W 1 p d G F k b 3 I s M X 0 m c X V v d D s s J n F 1 b 3 Q 7 U 2 V j d G l v b j E v d G J E Z X o x N y 9 J b n R l c n Z h b G 8 g Z G U g d G V 4 d G 8 g a W 5 z Z X J p Z G 8 u e 0 l u d G V y d m F s b y B k Z S B 0 Z X h 0 b y w z f S Z x d W 9 0 O y w m c X V v d D t T Z W N 0 a W 9 u M S 9 0 Y k R l e j E 3 L 0 l u d G V y d m F s b y B k Z S B 0 Z X h 0 b y B p b n N l c m l k b z E u e 0 l u d G V y d m F s b y B k Z S B 0 Z X h 0 b y 4 x L D N 9 J n F 1 b 3 Q 7 L C Z x d W 9 0 O 1 N l Y 3 R p b 2 4 x L 3 R i R G V 6 M T c v V G l w b y B B b H R l c m F k b z I u e 0 l u d G V y d m F s b y B k Z S B 0 Z X h 0 b y 4 y L D R 9 J n F 1 b 3 Q 7 L C Z x d W 9 0 O 1 N l Y 3 R p b 2 4 x L 3 R i R G V 6 M T c v V G l w b y B B b H R l c m F k b z M u e 0 l u d G V y d m F s b y B k Z S B 0 Z X h 0 b y 4 z L D V 9 J n F 1 b 3 Q 7 L C Z x d W 9 0 O 1 N l Y 3 R p b 2 4 x L 3 R i R G V 6 M T c v V G l w b y B B b H R l c m F k b z M u e 0 l u d G V y d m F s b y B k Z S B 0 Z X h 0 b y 4 0 L D Z 9 J n F 1 b 3 Q 7 L C Z x d W 9 0 O 1 N l Y 3 R p b 2 4 x L 3 R i R G V 6 M T c v V G l w b y B B b H R l c m F k b z Q u e 0 1 v d i 4 g T c O q c y w 3 f S Z x d W 9 0 O y w m c X V v d D t T Z W N 0 a W 9 u M S 9 0 Y k R l e j E 3 L 1 R p c G 8 g Q W x 0 Z X J h Z G 8 z L n t J b n R l c n Z h b G 8 g Z G U g d G V 4 d G 8 u N S w 3 f S Z x d W 9 0 O y w m c X V v d D t T Z W N 0 a W 9 u M S 9 0 Y k R l e j E 3 L 0 R p d m l z w 6 N v I E l u c 2 V y a W R h L n t T Y W x k b y B G a W 5 h b C B l b S B N a W w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i R G V 6 M T c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3 L 1 B y a W 1 l a X J v c y U y M E N h c m F j d G V y Z X M l M j B J b n N l c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3 L 0 N v b H V u Y X M l M j B S Z W 9 y Z G V u Y W R h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3 L 0 l u d G V y d m F s b y U y M G R l J T I w d G V 4 d G 8 l M j B p b n N l c m l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S W 5 0 Z X J 2 Y W x v J T I w Z G U l M j B 0 Z X h 0 b y U y M G l u c 2 V y a W R v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S W 5 0 Z X J 2 Y W x v J T I w Z G U l M j B 0 Z X h 0 b y U y M G l u c 2 V y a W R v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V G l w b y U y M E F s d G V y Y W R v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S W 5 0 Z X J 2 Y W x v J T I w Z G U l M j B 0 Z X h 0 b y U y M G l u c 2 V y a W R v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V G l w b y U y M E F s d G V y Y W R v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S W 5 0 Z X J 2 Y W x v J T I w Z G U l M j B 0 Z X h 0 b y U y M G l u c 2 V y a W R v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V G l w b y U y M E F s d G V y Y W R v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Q 2 9 s d W 5 h c y U y M F J l b m 9 t Z W F k Y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E Z X o x N y 9 M a W 5 o Y X M l M j B G a W x 0 c m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3 L 1 B l c n N v b m F s a X p h J U M z J U E 3 J U M z J U E z b y U y M E F k a W N p b 2 5 h Z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3 L 1 R l e H R v J T I w Q X B h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V G V 4 d G 8 l M j B M a W 1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T G l u a G F z J T I w R m l s d H J h Z G F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T G l u a G F z J T I w R m l s d H J h Z G F z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T G l u a G F z J T I w R m l s d H J h Z G F z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T G l u a G F z J T I w R m l s d H J h Z G F z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T G l u a G F z J T I w R m l s d H J h Z G F z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T G l u a G F z J T I w R m l s d H J h Z G F z N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V G V 4 d G 8 l M j B J b n N l c m l k b y U y M E F u d G V z J T I w Z G 8 l M j B E Z W x p b W l 0 Y W R v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Q 2 9 t c H J p b W V u d G 8 l M j B k b y U y M F R l e H R v J T I w S W 5 z Z X J p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3 L 0 N v b H V u Y X M l M j B S Z W 1 v d m l k Y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E Z X o x N y 9 J b n R l c n Z h b G 8 l M j B k Z S U y M H R l e H R v J T I w a W 5 z Z X J p Z G 8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E Z X o x N y 9 D b 2 x 1 b m F z J T I w U m V t b 3 Z p Z G F z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R G V 6 M T c v Q 2 9 s d W 5 h c y U y M F J l b W 9 2 a W R h c z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3 L 0 x p b m h h c y U y M E N s Y X N z a W Z p Y 2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k R l e j E 3 L 0 R p d m l z J U M z J U E z b y U y M E l u c 2 V y a W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F 1 Z X J 5 S U Q i I F Z h b H V l P S J z O W Q w N W Q 2 Z G I t M T Y 5 N S 0 0 N m V l L T h h Z D I t N 2 M 3 M D g 2 Z j Y w N D V h I i A v P j x F b n R y e S B U e X B l P S J M b 2 F k Z W R U b 0 F u Y W x 5 c 2 l z U 2 V y d m l j Z X M i I F Z h b H V l P S J s M C I g L z 4 8 R W 5 0 c n k g V H l w Z T 0 i T m F 2 a W d h d G l v b l N 0 Z X B O Y W 1 l I i B W Y W x 1 Z T 0 i c 0 5 h d m V n Y c O n w 6 N v I i A v P j x F b n R y e S B U e X B l P S J G a W x s T G F z d F V w Z G F 0 Z W Q i I F Z h b H V l P S J k M j A x O S 0 w N y 0 y N F Q x O T o 0 N j o 1 M i 4 3 O D k y M j g x W i I g L z 4 8 R W 5 0 c n k g V H l w Z T 0 i R m l s b E N v b H V t b l R 5 c G V z I i B W Y W x 1 Z T 0 i c 0 N R Q U F C Z 0 1 H Q l F V R k J R V U Z B Q U E 9 I i A v P j x F b n R y e S B U e X B l P S J G a W x s R X J y b 3 J D b 3 V u d C I g V m F s d W U 9 I m w w I i A v P j x F b n R y e S B U e X B l P S J G a W x s Q 2 9 s d W 1 u T m F t Z X M i I F Z h b H V l P S J z W y Z x d W 9 0 O 0 3 D q n M m c X V v d D s s J n F 1 b 3 Q 7 Q W d y d X B h b W V u d G 8 g Q l A v R F J F J n F 1 b 3 Q 7 L C Z x d W 9 0 O 1 M v Q S Z x d W 9 0 O y w m c X V v d D t D b 2 5 0 Y S B D b 2 5 0 w 6 F i a W w m c X V v d D s s J n F 1 b 3 Q 7 Q 8 O z Z C 4 g U m V k d X p p Z G 8 m c X V v d D s s J n F 1 b 3 Q 7 R G V z Y 3 J p w 6 f D o 2 8 m c X V v d D s s J n F 1 b 3 Q 7 U 2 F s Z G 8 g S W 5 p Y 2 l h b C Z x d W 9 0 O y w m c X V v d D t E w 6 l i a X R v J n F 1 b 3 Q 7 L C Z x d W 9 0 O 0 N y w 6 l k a X R v J n F 1 b 3 Q 7 L C Z x d W 9 0 O 0 1 v d i 4 g T c O q c y Z x d W 9 0 O y w m c X V v d D t T Y W x k b y B G a W 5 h b C Z x d W 9 0 O y w m c X V v d D t T Y W x k b y B G a W 5 h b C B l b S B N a W w m c X V v d D s s J n F 1 b 3 Q 7 Q W d y d X B h b W V u d G 8 g R F Z B J n F 1 b 3 Q 7 L C Z x d W 9 0 O 0 5 v d G E g R X h w b G l j Y X R p d m E m c X V v d D t d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Z p b G x D b 3 V u d C I g V m F s d W U 9 I m w 1 N D U 0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0 L C Z x d W 9 0 O 2 9 0 a G V y S 2 V 5 Q 2 9 s d W 1 u S W R l b n R p d H k m c X V v d D s 6 J n F 1 b 3 Q 7 U 2 V j d G l v b j E v Z F B s Y 3 R h M j A x O C / D j W 5 k a W N l I E F k a W N p b 2 5 h Z G 8 u e 0 P D s 2 Q u I F J l Z H V 6 a W R v L D F 9 J n F 1 b 3 Q 7 L C Z x d W 9 0 O 0 t l e U N v b H V t b k N v d W 5 0 J n F 1 b 3 Q 7 O j F 9 X S w m c X V v d D t j b 2 x 1 b W 5 J Z G V u d G l 0 a W V z J n F 1 b 3 Q 7 O l s m c X V v d D t T Z W N 0 a W 9 u M S 9 0 Y j I w M T g v V G l w b y B B b H R l c m F k b z E u e 0 1 l c 2 V z L j E s M X 0 m c X V v d D s s J n F 1 b 3 Q 7 U 2 V j d G l v b j E v Z F B s Y 3 R h M j A x O C / D j W 5 k a W N l I E F k a W N p b 2 5 h Z G 8 u e 0 F n c n V w Y W 1 l b n R v I E J Q L 0 R S R S w 0 f S Z x d W 9 0 O y w m c X V v d D t T Z W N 0 a W 9 u M S 9 k U G x j d G E y M D E 4 L 8 O N b m R p Y 2 U g Q W R p Y 2 l v b m F k b y 5 7 U y 9 B L D N 9 J n F 1 b 3 Q 7 L C Z x d W 9 0 O 1 N l Y 3 R p b 2 4 x L 3 R i M j A x O C 9 U Z X h 0 b y B J b n N l c m l k b y B B b n R l c y B k b y B E Z W x p b W l 0 Y W R v c i 5 7 V G V 4 d G 8 g Q W 5 0 Z X M g Z G 8 g R G V s a W 1 p d G F k b 3 I s M n 0 m c X V v d D s s J n F 1 b 3 Q 7 U 2 V j d G l v b j E v d G I y M D E 4 L 1 R p c G 8 g Q W x 0 Z X J h Z G 8 0 L n t D w 7 N k L i B S Z W R 1 e m l k b y w y f S Z x d W 9 0 O y w m c X V v d D t T Z W N 0 a W 9 u M S 9 0 Y j I w M T g v S W 5 0 Z X J 2 Y W x v I G R l I H R l e H R v I G l u c 2 V y a W R v M S 5 7 S W 5 0 Z X J 2 Y W x v I G R l I H R l e H R v L j E s N H 0 m c X V v d D s s J n F 1 b 3 Q 7 U 2 V j d G l v b j E v d G I y M D E 4 L 1 R p c G 8 g Q W x 0 Z X J h Z G 8 y L n t J b n R l c n Z h b G 8 g Z G U g d G V 4 d G 8 u M i w 1 f S Z x d W 9 0 O y w m c X V v d D t T Z W N 0 a W 9 u M S 9 0 Y j I w M T g v V G l w b y B B b H R l c m F k b z M u e 0 l u d G V y d m F s b y B k Z S B 0 Z X h 0 b y 4 z L D Z 9 J n F 1 b 3 Q 7 L C Z x d W 9 0 O 1 N l Y 3 R p b 2 4 x L 3 R i M j A x O C 9 U a X B v I E F s d G V y Y W R v M y 5 7 S W 5 0 Z X J 2 Y W x v I G R l I H R l e H R v L j Q s N 3 0 m c X V v d D s s J n F 1 b 3 Q 7 U 2 V j d G l v b j E v d G I y M D E 4 L 1 R p c G 8 g Q W x 0 Z X J h Z G 8 0 L n t N b 3 Y u I E 3 D q n M s O H 0 m c X V v d D s s J n F 1 b 3 Q 7 U 2 V j d G l v b j E v d G I y M D E 4 L 1 R p c G 8 g Q W x 0 Z X J h Z G 8 z L n t J b n R l c n Z h b G 8 g Z G U g d G V 4 d G 8 u N S w 4 f S Z x d W 9 0 O y w m c X V v d D t T Z W N 0 a W 9 u M S 9 0 Y j I w M T g v R G l 2 a X P D o 2 8 g S W 5 z Z X J p Z G E u e 1 N h b G R v I E Z p b m F s I G V t I E 1 p b C w 5 f S Z x d W 9 0 O y w m c X V v d D t T Z W N 0 a W 9 u M S 9 k U G x j d G E y M D E 4 L 8 O N b m R p Y 2 U g Q W R p Y 2 l v b m F k b y 5 7 Q W d y d X B h b W V u d G 8 g R F Z B L D V 9 J n F 1 b 3 Q 7 L C Z x d W 9 0 O 1 N l Y 3 R p b 2 4 x L 2 R Q b G N 0 Y T I w M T g v w 4 1 u Z G l j Z S B B Z G l j a W 9 u Y W R v L n t O b 3 R h I E V 4 c G x p Y 2 F 0 a X Z h L D Z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0 Y j I w M T g v V G l w b y B B b H R l c m F k b z E u e 0 1 l c 2 V z L j E s M X 0 m c X V v d D s s J n F 1 b 3 Q 7 U 2 V j d G l v b j E v Z F B s Y 3 R h M j A x O C / D j W 5 k a W N l I E F k a W N p b 2 5 h Z G 8 u e 0 F n c n V w Y W 1 l b n R v I E J Q L 0 R S R S w 0 f S Z x d W 9 0 O y w m c X V v d D t T Z W N 0 a W 9 u M S 9 k U G x j d G E y M D E 4 L 8 O N b m R p Y 2 U g Q W R p Y 2 l v b m F k b y 5 7 U y 9 B L D N 9 J n F 1 b 3 Q 7 L C Z x d W 9 0 O 1 N l Y 3 R p b 2 4 x L 3 R i M j A x O C 9 U Z X h 0 b y B J b n N l c m l k b y B B b n R l c y B k b y B E Z W x p b W l 0 Y W R v c i 5 7 V G V 4 d G 8 g Q W 5 0 Z X M g Z G 8 g R G V s a W 1 p d G F k b 3 I s M n 0 m c X V v d D s s J n F 1 b 3 Q 7 U 2 V j d G l v b j E v d G I y M D E 4 L 1 R p c G 8 g Q W x 0 Z X J h Z G 8 0 L n t D w 7 N k L i B S Z W R 1 e m l k b y w y f S Z x d W 9 0 O y w m c X V v d D t T Z W N 0 a W 9 u M S 9 0 Y j I w M T g v S W 5 0 Z X J 2 Y W x v I G R l I H R l e H R v I G l u c 2 V y a W R v M S 5 7 S W 5 0 Z X J 2 Y W x v I G R l I H R l e H R v L j E s N H 0 m c X V v d D s s J n F 1 b 3 Q 7 U 2 V j d G l v b j E v d G I y M D E 4 L 1 R p c G 8 g Q W x 0 Z X J h Z G 8 y L n t J b n R l c n Z h b G 8 g Z G U g d G V 4 d G 8 u M i w 1 f S Z x d W 9 0 O y w m c X V v d D t T Z W N 0 a W 9 u M S 9 0 Y j I w M T g v V G l w b y B B b H R l c m F k b z M u e 0 l u d G V y d m F s b y B k Z S B 0 Z X h 0 b y 4 z L D Z 9 J n F 1 b 3 Q 7 L C Z x d W 9 0 O 1 N l Y 3 R p b 2 4 x L 3 R i M j A x O C 9 U a X B v I E F s d G V y Y W R v M y 5 7 S W 5 0 Z X J 2 Y W x v I G R l I H R l e H R v L j Q s N 3 0 m c X V v d D s s J n F 1 b 3 Q 7 U 2 V j d G l v b j E v d G I y M D E 4 L 1 R p c G 8 g Q W x 0 Z X J h Z G 8 0 L n t N b 3 Y u I E 3 D q n M s O H 0 m c X V v d D s s J n F 1 b 3 Q 7 U 2 V j d G l v b j E v d G I y M D E 4 L 1 R p c G 8 g Q W x 0 Z X J h Z G 8 z L n t J b n R l c n Z h b G 8 g Z G U g d G V 4 d G 8 u N S w 4 f S Z x d W 9 0 O y w m c X V v d D t T Z W N 0 a W 9 u M S 9 0 Y j I w M T g v R G l 2 a X P D o 2 8 g S W 5 z Z X J p Z G E u e 1 N h b G R v I E Z p b m F s I G V t I E 1 p b C w 5 f S Z x d W 9 0 O y w m c X V v d D t T Z W N 0 a W 9 u M S 9 k U G x j d G E y M D E 4 L 8 O N b m R p Y 2 U g Q W R p Y 2 l v b m F k b y 5 7 Q W d y d X B h b W V u d G 8 g R F Z B L D V 9 J n F 1 b 3 Q 7 L C Z x d W 9 0 O 1 N l Y 3 R p b 2 4 x L 2 R Q b G N 0 Y T I w M T g v w 4 1 u Z G l j Z S B B Z G l j a W 9 u Y W R v L n t O b 3 R h I E V 4 c G x p Y 2 F 0 a X Z h L D Z 9 J n F 1 b 3 Q 7 X S w m c X V v d D t S Z W x h d G l v b n N o a X B J b m Z v J n F 1 b 3 Q 7 O l t 7 J n F 1 b 3 Q 7 a 2 V 5 Q 2 9 s d W 1 u Q 2 9 1 b n Q m c X V v d D s 6 M S w m c X V v d D t r Z X l D b 2 x 1 b W 4 m c X V v d D s 6 N C w m c X V v d D t v d G h l c k t l e U N v b H V t b k l k Z W 5 0 a X R 5 J n F 1 b 3 Q 7 O i Z x d W 9 0 O 1 N l Y 3 R p b 2 4 x L 2 R Q b G N 0 Y T I w M T g v w 4 1 u Z G l j Z S B B Z G l j a W 9 u Y W R v L n t D w 7 N k L i B S Z W R 1 e m l k b y w x f S Z x d W 9 0 O y w m c X V v d D t L Z X l D b 2 x 1 b W 5 D b 3 V u d C Z x d W 9 0 O z o x f V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d G I y M D E 4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1 R l e H R v J T I w Q X B h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U Z X h 0 b y U y M E x p b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0 x p b m h h c y U y M E Z p b H R y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M a W 5 o Y X M l M j B G a W x 0 c m F k Y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0 x p b m h h c y U y M E Z p b H R y Y W R h c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T G l u a G F z J T I w R m l s d H J h Z G F z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M a W 5 o Y X M l M j B G a W x 0 c m F k Y X M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0 x p b m h h c y U y M E Z p b H R y Y W R h c z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T G l u a G F z J T I w R m l s d H J h Z G F z N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U Z X h 0 b y U y M E l u c 2 V y a W R v J T I w Q W 5 0 Z X M l M j B k b y U y M E R l b G l t a X R h Z G 9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0 N v b X B y a W 1 l b n R v J T I w Z G 8 l M j B U Z X h 0 b y U y M E l u c 2 V y a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0 l u d G V y d m F s b y U y M G R l J T I w d G V 4 d G 8 l M j B p b n N l c m l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D b 2 x 1 b m F z J T I w U m V t b 3 Z p Z G F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J b n R l c n Z h b G 8 l M j B k Z S U y M H R l e H R v J T I w a W 5 z Z X J p Z G 8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0 l u d G V y d m F s b y U y M G R l J T I w d G V 4 d G 8 l M j B p b n N l c m l k b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V G l w b y U y M E F s d G V y Y W R v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J b n R l c n Z h b G 8 l M j B k Z S U y M H R l e H R v J T I w a W 5 z Z X J p Z G 8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0 l u d G V y d m F s b y U y M G R l J T I w d G V 4 d G 8 l M j B p b n N l c m l k b z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S W 5 0 Z X J 2 Y W x v J T I w Z G U l M j B 0 Z X h 0 b y U y M G l u c 2 V y a W R v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U a X B v J T I w Q W x 0 Z X J h Z G 8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0 N v b H V u Y X M l M j B S Z W 1 v d m l k Y X M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1 B y a W 1 l a X J v c y U y M E N h c m F j d G V y Z X M l M j B J b n N l c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Q 2 9 s d W 5 h c y U y M F J l b m 9 t Z W F k Y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1 B l c n N v b m F s a X p h J U M z J U E 3 J U M z J U E z b y U y M E F k a W N p b 2 5 h Z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Q 2 9 s d W 5 h c y U y M F J l b W 9 2 a W R h c z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V G l w b y U y M E F s d G V y Y W R v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D b 2 x 1 b m F z J T I w U m V v c m R l b m F k Y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Q b G N 0 Y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Z W d h w 6 f D o 2 8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Z p b G x M Y X N 0 V X B k Y X R l Z C I g V m F s d W U 9 I m Q y M D E 5 L T A x L T I z V D E 5 O j M x O j I 3 L j E z M T M x O T h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i U G x j d G E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T G l u a G F z J T I w R m l s d H J h Z G F z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P d X R y Y X M l M j B D b 2 x 1 b m F z J T I w U m V t b 3 Z p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0 l u d m 9 j Y X I l M j B G d W 4 l Q z M l Q T c l Q z M l Q T N v J T I w U G V y c 2 9 u Y W x p e m F k Y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T 3 V 0 c m F z J T I w Q 2 9 s d W 5 h c y U y M F J l b W 9 2 a W R h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Q 2 9 s d W 5 h J T I w Z G U l M j B U Y W J l b G E l M j B F e H B h b m R p Z G E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U Z X h 0 b y U y M E l u c 2 V y a W R v J T I w R W 5 0 c m U l M j B v c y U y M E R l b G l t a X R h Z G 9 y Z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Q 2 9 u c 3 V s d G F z J T I w T W V z Y 2 x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0 1 l c 2 V z J T I w R X h w Y W 5 k a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1 B y Z W V u Y 2 h p Z G 8 l M j B B Y m F p e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Q 2 9 s d W 5 h c y U y M F J l b W 9 2 a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U a X B v J T I w Q W x 0 Z X J h Z G 8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0 N v b H V u Y X M l M j B S Z W 5 v b W V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4 L 0 N v b H V u Y X M l M j B S Z W 9 y Z G V u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c X V p d m 8 l M j B k Z S U y M E F t b 3 N 0 c m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V n Y c O n w 6 N v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g t M D Y t M T l U M T c 6 M z c 6 N T Y u N T Q 3 N T k 1 N F o i I C 8 + P E V u d H J 5 I F R 5 c G U 9 I k Z p b G x T d G F 0 d X M i I F Z h b H V l P S J z Q 2 9 t c G x l d G U i I C 8 + P E V u d H J 5 I F R 5 c G U 9 I l F 1 Z X J 5 R 3 J v d X B J R C I g V m F s d W U 9 I n M 0 N 2 J k O G I z M i 0 y N j Q x L T Q w N W E t Y m E z O S 0 1 Y T U 2 N T Y 5 O W E z Z D k i I C 8 + P C 9 T d G F i b G V F b n R y a W V z P j w v S X R l b T 4 8 S X R l b T 4 8 S X R l b U x v Y 2 F 0 a W 9 u P j x J d G V t V H l w Z T 5 G b 3 J t d W x h P C 9 J d G V t V H l w Z T 4 8 S X R l b V B h d G g + U 2 V j d G l v b j E v Q X J x d W l 2 b y U y M G R l J T I w Q W 1 v c 3 R y Y S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c X V p d m 8 l M j B k Z S U y M E F t b 3 N 0 c m E v T 3 V 0 c m F z J T I w Q 2 9 s d W 5 h c y U y M F J l b W 9 2 a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c X V p d m 8 l M j B k Z S U y M E F t b 3 N 0 c m E v T m F 2 Z W d h J U M z J U E 3 J U M z J U E z b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Y X I l Q z M l Q T J t Z X R y b y U y M G R l J T I w Q X J x d W l 2 b y U y M G R l J T I w Q W 1 v c 3 R y Y T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V n Y c O n w 6 N v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g t M D Y t M T l U M T c 6 M z k 6 M T U u N T E w M j A z M F o i I C 8 + P E V u d H J 5 I F R 5 c G U 9 I k Z p b G x T d G F 0 d X M i I F Z h b H V l P S J z Q 2 9 t c G x l d G U i I C 8 + P E V u d H J 5 I F R 5 c G U 9 I l F 1 Z X J 5 R 3 J v d X B J R C I g V m F s d W U 9 I n M 0 N 2 J k O G I z M i 0 y N j Q x L T Q w N W E t Y m E z O S 0 1 Y T U 2 N T Y 5 O W E z Z D k i I C 8 + P C 9 T d G F i b G V F b n R y a W V z P j w v S X R l b T 4 8 S X R l b T 4 8 S X R l b U x v Y 2 F 0 a W 9 u P j x J d G V t V H l w Z T 5 G b 3 J t d W x h P C 9 J d G V t V H l w Z T 4 8 S X R l b V B h d G g + U 2 V j d G l v b j E v V H J h b n N m b 3 J t Y X I l M j B v J T I w Q X J x d W l 2 b y U y M G R l J T I w R X h l b X B s b y U y M G R l J T I w Q m F s Y W 5 j Z X R l c z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Z W d h w 6 f D o 2 8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E 4 L T A 2 L T E 5 V D E 3 O j Q w O j I 2 L j U 0 O D c w M D l a I i A v P j x F b n R y e S B U e X B l P S J G a W x s U 3 R h d H V z I i B W Y W x 1 Z T 0 i c 0 N v b X B s Z X R l I i A v P j x F b n R y e S B U e X B l P S J R d W V y e U d y b 3 V w S U Q i I F Z h b H V l P S J z N D d i Z D h i M z I t M j Y 0 M S 0 0 M D V h L W J h M z k t N W E 1 N j U 2 O T l h M 2 Q 5 I i A v P j w v U 3 R h Y m x l R W 5 0 c m l l c z 4 8 L 0 l 0 Z W 0 + P E l 0 Z W 0 + P E l 0 Z W 1 M b 2 N h d G l v b j 4 8 S X R l b V R 5 c G U + R m 9 y b X V s Y T w v S X R l b V R 5 c G U + P E l 0 Z W 1 Q Y X R o P l N l Y 3 R p b 2 4 x L 1 R y Y W 5 z Z m 9 y b W F y J T I w b y U y M E F y c X V p d m 8 l M j B k Z S U y M E V 4 Z W 1 w b G 8 l M j B k Z S U y M E J h b G F u Y 2 V 0 Z X M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1 h c i U y M G 8 l M j B B c n F 1 a X Z v J T I w Z G U l M j B F e G V t c G x v J T I w Z G U l M j B C Y W x h b m N l d G V z L 0 F s d G V y Y X I l M j B U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Y X I l M j B B c n F 1 a X Z v J T I w Z G U l M j B C Y W x h b m N l d G V z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l Z 2 H D p 8 O j b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G d W 5 j d G l v b i I g L z 4 8 R W 5 0 c n k g V H l w Z T 0 i T m F t Z V V w Z G F 0 Z W R B Z n R l c k Z p b G w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g t M D Y t M T l U M T c 6 N D E 6 N T I u O D Y 0 N z U 2 M V o i I C 8 + P E V u d H J 5 I F R 5 c G U 9 I k Z p b G x T d G F 0 d X M i I F Z h b H V l P S J z Q 2 9 t c G x l d G U i I C 8 + P E V u d H J 5 I F R 5 c G U 9 I l F 1 Z X J 5 R 3 J v d X B J R C I g V m F s d W U 9 I n M 0 N 2 J k O G I z M i 0 y N j Q x L T Q w N W E t Y m E z O S 0 1 Y T U 2 N T Y 5 O W E z Z D k i I C 8 + P C 9 T d G F i b G V F b n R y a W V z P j w v S X R l b T 4 8 S X R l b T 4 8 S X R l b U x v Y 2 F 0 a W 9 u P j x J d G V t V H l w Z T 5 G b 3 J t d W x h P C 9 J d G V t V H l w Z T 4 8 S X R l b V B h d G g + U 2 V j d G l v b j E v V H J h b n N m b 3 J t Y X I l M j B B c n F 1 a X Z v J T I w Z G U l M j B C Y W x h b m N l d G V z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z Z X M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V n Y c O n w 6 N v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x O C 0 w N i 0 x O V Q x N z o 0 O T o 1 M y 4 1 N D E y N z g 5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N Z X N l c y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c 2 V z L 0 N v b n Z l c n R p Z G 8 l M j B w Y X J h J T I w V G F i Z W x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z Z X M v R m l t J T I w Z G 8 l M j B N J U M z J U F B c y U y M E N h b G N 1 b G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c 2 V z L 0 R 1 c G x p Y 2 F 0 Y X M l M j B S Z W 1 v d m l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Z X N l c y 9 D b 2 x 1 b m F z J T I w U m V u b 2 1 l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c 2 V z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n N 1 b H R h M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Z W d h w 6 f D o 2 8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R n V u Y 3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E 4 L T A 2 L T E 5 V D E 3 O j Q 1 O j A y L j I 1 M D I 0 N T h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N v b n N 1 b H R h M S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E a X Z p c y V D M y V B M 2 8 l M j B J b n N l c m l k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D b 2 5 z d W x 0 Y X M l M j B N Z X N j b G F k Y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Q b G N 0 Y S 9 U a X B v J T I w Q W x 0 Z X J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U G x j d G E y M D E 4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l Z 2 H D p 8 O j b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F e G N l c H R p b 2 4 i I C 8 + P E V u d H J 5 I F R 5 c G U 9 I k Z p b G x l Z E N v b X B s Z X R l U m V z d W x 0 V G 9 X b 3 J r c 2 h l Z X Q i I F Z h b H V l P S J s M C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Z p b G x M Y X N 0 V X B k Y X R l Z C I g V m F s d W U 9 I m Q y M D E 5 L T A x L T I z V D E 5 O j M x O j I 3 L j I z N T I z M j B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2 R Q b G N 0 Y T I w M T g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U G x j d G E y M D E 4 L 2 R Q b G N 0 Y T I w M T h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U G x j d G E y M D E 4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0 Y l B s Y 3 R h J T I w R X h w Y W 5 k a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Q b G N 0 Y S 8 l Q z M l O E R u Z G l j Z S U y M E F k a W N p b 2 5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l B s Y 3 R h L 0 N v b H V u Y X M l M j B S Z W 9 y Z G V u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Q b G N 0 Y T I w M T g v J U M z J T h E b m R p Y 2 U l M j B B Z G l j a W 9 u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F B s Y 3 R h M j A x O C 9 D b 2 x 1 b m F z J T I w U m V v c m R l b m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Q 2 9 s d W 5 h c y U y M F J l b W 9 2 a W R h c z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g v Q 2 9 s d W 5 h c y U y M F J l b 3 J k Z W 5 h Z G F z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C 9 M a W 5 o Y X M l M j B D b G F z c 2 l m a W N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Q m F s Y W 5 j Z X R l I E R l e i 0 y M D E 2 I i A v P j x F b n R y e S B U e X B l P S J R d W V y e U l E I i B W Y W x 1 Z T 0 i c z A 1 N T l m M D M 5 L T Z h Z G U t N D I 2 O S 1 h Z m Z l L T g 5 N G V j M D c w M G N j O S I g L z 4 8 R W 5 0 c n k g V H l w Z T 0 i T G 9 h Z G V k V G 9 B b m F s e X N p c 1 N l c n Z p Y 2 V z I i B W Y W x 1 Z T 0 i b D A i I C 8 + P E V u d H J 5 I F R 5 c G U 9 I k 5 h d m l n Y X R p b 2 5 T d G V w T m F t Z S I g V m F s d W U 9 I n N O Y X Z l Z 2 H D p 8 O j b y I g L z 4 8 R W 5 0 c n k g V H l w Z T 0 i R m l s b E x h c 3 R V c G R h d G V k I i B W Y W x 1 Z T 0 i Z D I w M T k t M T A t M T d U M T k 6 N D E 6 N D c u O T U 0 N D U 1 M F o i I C 8 + P E V u d H J 5 I F R 5 c G U 9 I k Z p b G x D b 2 x 1 b W 5 U e X B l c y I g V m F s d W U 9 I n N D U U F B Q m d N R 0 J R V U Z C U V V G Q U F B P S I g L z 4 8 R W 5 0 c n k g V H l w Z T 0 i R m l s b E N v b H V t b k 5 h b W V z I i B W Y W x 1 Z T 0 i c 1 s m c X V v d D t N w 6 p z J n F 1 b 3 Q 7 L C Z x d W 9 0 O 0 F n c n V w Y W 1 l b n R v I E J Q L 0 R S R S Z x d W 9 0 O y w m c X V v d D t T L 0 E m c X V v d D s s J n F 1 b 3 Q 7 Q 2 9 u d G E g Q 2 9 u d M O h Y m l s J n F 1 b 3 Q 7 L C Z x d W 9 0 O 0 P D s 2 Q u I F J l Z H V 6 a W R v J n F 1 b 3 Q 7 L C Z x d W 9 0 O 0 R l c 2 N y a c O n w 6 N v J n F 1 b 3 Q 7 L C Z x d W 9 0 O 1 N h b G R v I E l u a W N p Y W w m c X V v d D s s J n F 1 b 3 Q 7 R M O p Y m l 0 b y Z x d W 9 0 O y w m c X V v d D t D c s O p Z G l 0 b y Z x d W 9 0 O y w m c X V v d D t N b 3 Y u I E 3 D q n M m c X V v d D s s J n F 1 b 3 Q 7 U 2 F s Z G 8 g R m l u Y W w m c X V v d D s s J n F 1 b 3 Q 7 U 2 F s Z G 8 g R m l u Y W w g Z W 0 g T W l s J n F 1 b 3 Q 7 L C Z x d W 9 0 O 0 F n c n V w Y W 1 l b n R v I E R W Q S Z x d W 9 0 O y w m c X V v d D t O b 3 R h I E V 4 c G x p Y 2 F 0 a X Z h J n F 1 b 3 Q 7 X S I g L z 4 8 R W 5 0 c n k g V H l w Z T 0 i R m l s b F N 0 Y X R 1 c y I g V m F s d W U 9 I n N D b 2 1 w b G V 0 Z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0 L C Z x d W 9 0 O 2 9 0 a G V y S 2 V 5 Q 2 9 s d W 1 u S W R l b n R p d H k m c X V v d D s 6 J n F 1 b 3 Q 7 U 2 V j d G l v b j E v Z F B s Y 3 R h M j A x O C / D j W 5 k a W N l I E F k a W N p b 2 5 h Z G 8 u e 0 P D s 2 Q u I F J l Z H V 6 a W R v L D F 9 J n F 1 b 3 Q 7 L C Z x d W 9 0 O 0 t l e U N v b H V t b k N v d W 5 0 J n F 1 b 3 Q 7 O j F 9 X S w m c X V v d D t j b 2 x 1 b W 5 J Z G V u d G l 0 a W V z J n F 1 b 3 Q 7 O l s m c X V v d D t T Z W N 0 a W 9 u M S 9 0 Y j I w M T k v V G l w b y B B b H R l c m F k b z E u e 0 1 l c 2 V z L j E s M X 0 m c X V v d D s s J n F 1 b 3 Q 7 U 2 V j d G l v b j E v Z F B s Y 3 R h M j A x O C / D j W 5 k a W N l I E F k a W N p b 2 5 h Z G 8 u e 0 F n c n V w Y W 1 l b n R v I E J Q L 0 R S R S w 0 f S Z x d W 9 0 O y w m c X V v d D t T Z W N 0 a W 9 u M S 9 k U G x j d G E y M D E 4 L 8 O N b m R p Y 2 U g Q W R p Y 2 l v b m F k b y 5 7 U y 9 B L D N 9 J n F 1 b 3 Q 7 L C Z x d W 9 0 O 1 N l Y 3 R p b 2 4 x L 3 R i M j A x O S 9 U Z X h 0 b y B J b n N l c m l k b y B B b n R l c y B k b y B E Z W x p b W l 0 Y W R v c i 5 7 V G V 4 d G 8 g Q W 5 0 Z X M g Z G 8 g R G V s a W 1 p d G F k b 3 I s M n 0 m c X V v d D s s J n F 1 b 3 Q 7 U 2 V j d G l v b j E v d G I y M D E 5 L 1 R p c G 8 g Q W x 0 Z X J h Z G 8 0 L n t D w 7 N k L i B S Z W R 1 e m l k b y w y f S Z x d W 9 0 O y w m c X V v d D t T Z W N 0 a W 9 u M S 9 0 Y j I w M T k v S W 5 0 Z X J 2 Y W x v I G R l I H R l e H R v I G l u c 2 V y a W R v M S 5 7 S W 5 0 Z X J 2 Y W x v I G R l I H R l e H R v L j E s N H 0 m c X V v d D s s J n F 1 b 3 Q 7 U 2 V j d G l v b j E v d G I y M D E 5 L 1 R p c G 8 g Q W x 0 Z X J h Z G 8 y L n t J b n R l c n Z h b G 8 g Z G U g d G V 4 d G 8 u M i w 1 f S Z x d W 9 0 O y w m c X V v d D t T Z W N 0 a W 9 u M S 9 0 Y j I w M T k v V G l w b y B B b H R l c m F k b z M u e 0 l u d G V y d m F s b y B k Z S B 0 Z X h 0 b y 4 z L D Z 9 J n F 1 b 3 Q 7 L C Z x d W 9 0 O 1 N l Y 3 R p b 2 4 x L 3 R i M j A x O S 9 U a X B v I E F s d G V y Y W R v M y 5 7 S W 5 0 Z X J 2 Y W x v I G R l I H R l e H R v L j Q s N 3 0 m c X V v d D s s J n F 1 b 3 Q 7 U 2 V j d G l v b j E v d G I y M D E 5 L 1 R p c G 8 g Q W x 0 Z X J h Z G 8 0 L n t N b 3 Y u I E 3 D q n M s O H 0 m c X V v d D s s J n F 1 b 3 Q 7 U 2 V j d G l v b j E v d G I y M D E 5 L 1 R p c G 8 g Q W x 0 Z X J h Z G 8 z L n t J b n R l c n Z h b G 8 g Z G U g d G V 4 d G 8 u N S w 4 f S Z x d W 9 0 O y w m c X V v d D t T Z W N 0 a W 9 u M S 9 0 Y j I w M T k v R G l 2 a X P D o 2 8 g S W 5 z Z X J p Z G E u e 1 N h b G R v I E Z p b m F s I G V t I E 1 p b C w 5 f S Z x d W 9 0 O y w m c X V v d D t T Z W N 0 a W 9 u M S 9 k U G x j d G E y M D E 4 L 8 O N b m R p Y 2 U g Q W R p Y 2 l v b m F k b y 5 7 Q W d y d X B h b W V u d G 8 g R F Z B L D V 9 J n F 1 b 3 Q 7 L C Z x d W 9 0 O 1 N l Y 3 R p b 2 4 x L 2 R Q b G N 0 Y T I w M T g v w 4 1 u Z G l j Z S B B Z G l j a W 9 u Y W R v L n t O b 3 R h I E V 4 c G x p Y 2 F 0 a X Z h L D Z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0 Y j I w M T k v V G l w b y B B b H R l c m F k b z E u e 0 1 l c 2 V z L j E s M X 0 m c X V v d D s s J n F 1 b 3 Q 7 U 2 V j d G l v b j E v Z F B s Y 3 R h M j A x O C / D j W 5 k a W N l I E F k a W N p b 2 5 h Z G 8 u e 0 F n c n V w Y W 1 l b n R v I E J Q L 0 R S R S w 0 f S Z x d W 9 0 O y w m c X V v d D t T Z W N 0 a W 9 u M S 9 k U G x j d G E y M D E 4 L 8 O N b m R p Y 2 U g Q W R p Y 2 l v b m F k b y 5 7 U y 9 B L D N 9 J n F 1 b 3 Q 7 L C Z x d W 9 0 O 1 N l Y 3 R p b 2 4 x L 3 R i M j A x O S 9 U Z X h 0 b y B J b n N l c m l k b y B B b n R l c y B k b y B E Z W x p b W l 0 Y W R v c i 5 7 V G V 4 d G 8 g Q W 5 0 Z X M g Z G 8 g R G V s a W 1 p d G F k b 3 I s M n 0 m c X V v d D s s J n F 1 b 3 Q 7 U 2 V j d G l v b j E v d G I y M D E 5 L 1 R p c G 8 g Q W x 0 Z X J h Z G 8 0 L n t D w 7 N k L i B S Z W R 1 e m l k b y w y f S Z x d W 9 0 O y w m c X V v d D t T Z W N 0 a W 9 u M S 9 0 Y j I w M T k v S W 5 0 Z X J 2 Y W x v I G R l I H R l e H R v I G l u c 2 V y a W R v M S 5 7 S W 5 0 Z X J 2 Y W x v I G R l I H R l e H R v L j E s N H 0 m c X V v d D s s J n F 1 b 3 Q 7 U 2 V j d G l v b j E v d G I y M D E 5 L 1 R p c G 8 g Q W x 0 Z X J h Z G 8 y L n t J b n R l c n Z h b G 8 g Z G U g d G V 4 d G 8 u M i w 1 f S Z x d W 9 0 O y w m c X V v d D t T Z W N 0 a W 9 u M S 9 0 Y j I w M T k v V G l w b y B B b H R l c m F k b z M u e 0 l u d G V y d m F s b y B k Z S B 0 Z X h 0 b y 4 z L D Z 9 J n F 1 b 3 Q 7 L C Z x d W 9 0 O 1 N l Y 3 R p b 2 4 x L 3 R i M j A x O S 9 U a X B v I E F s d G V y Y W R v M y 5 7 S W 5 0 Z X J 2 Y W x v I G R l I H R l e H R v L j Q s N 3 0 m c X V v d D s s J n F 1 b 3 Q 7 U 2 V j d G l v b j E v d G I y M D E 5 L 1 R p c G 8 g Q W x 0 Z X J h Z G 8 0 L n t N b 3 Y u I E 3 D q n M s O H 0 m c X V v d D s s J n F 1 b 3 Q 7 U 2 V j d G l v b j E v d G I y M D E 5 L 1 R p c G 8 g Q W x 0 Z X J h Z G 8 z L n t J b n R l c n Z h b G 8 g Z G U g d G V 4 d G 8 u N S w 4 f S Z x d W 9 0 O y w m c X V v d D t T Z W N 0 a W 9 u M S 9 0 Y j I w M T k v R G l 2 a X P D o 2 8 g S W 5 z Z X J p Z G E u e 1 N h b G R v I E Z p b m F s I G V t I E 1 p b C w 5 f S Z x d W 9 0 O y w m c X V v d D t T Z W N 0 a W 9 u M S 9 k U G x j d G E y M D E 4 L 8 O N b m R p Y 2 U g Q W R p Y 2 l v b m F k b y 5 7 Q W d y d X B h b W V u d G 8 g R F Z B L D V 9 J n F 1 b 3 Q 7 L C Z x d W 9 0 O 1 N l Y 3 R p b 2 4 x L 2 R Q b G N 0 Y T I w M T g v w 4 1 u Z G l j Z S B B Z G l j a W 9 u Y W R v L n t O b 3 R h I E V 4 c G x p Y 2 F 0 a X Z h L D Z 9 J n F 1 b 3 Q 7 X S w m c X V v d D t S Z W x h d G l v b n N o a X B J b m Z v J n F 1 b 3 Q 7 O l t 7 J n F 1 b 3 Q 7 a 2 V 5 Q 2 9 s d W 1 u Q 2 9 1 b n Q m c X V v d D s 6 M S w m c X V v d D t r Z X l D b 2 x 1 b W 4 m c X V v d D s 6 N C w m c X V v d D t v d G h l c k t l e U N v b H V t b k l k Z W 5 0 a X R 5 J n F 1 b 3 Q 7 O i Z x d W 9 0 O 1 N l Y 3 R p b 2 4 x L 2 R Q b G N 0 Y T I w M T g v w 4 1 u Z G l j Z S B B Z G l j a W 9 u Y W R v L n t D w 7 N k L i B S Z W R 1 e m l k b y w x f S Z x d W 9 0 O y w m c X V v d D t L Z X l D b 2 x 1 b W 5 D b 3 V u d C Z x d W 9 0 O z o x f V 1 9 I i A v P j x F b n R y e S B U e X B l P S J G a W x s Q 2 9 1 b n Q i I F Z h b H V l P S J s N D Q z N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3 R i M j A x O S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M a W 5 o Y X M l M j B G a W x 0 c m F k Y X M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0 9 1 d H J h c y U y M E N v b H V u Y X M l M j B S Z W 1 v d m l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S W 5 2 b 2 N h c i U y M E Z 1 b i V D M y V B N y V D M y V B M 2 8 l M j B Q Z X J z b 2 5 h b G l 6 Y W R h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P d X R y Y X M l M j B D b 2 x 1 b m F z J T I w U m V t b 3 Z p Z G F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D b 2 x 1 b m E l M j B k Z S U y M F R h Y m V s Y S U y M E V 4 c G F u Z G l k Y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V G l w b y U y M E F s d G V y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1 R l e H R v J T I w Q X B h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U Z X h 0 b y U y M E x p b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1 R l e H R v J T I w S W 5 z Z X J p Z G 8 l M j B F b n R y Z S U y M G 9 z J T I w R G V s a W 1 p d G F k b 3 J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D b 2 5 z d W x 0 Y X M l M j B N Z X N j b G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T W V z Z X M l M j B F e H B h b m R p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U H J l Z W 5 j a G l k b y U y M E F i Y W l 4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D b 2 x 1 b m F z J T I w U m V t b 3 Z p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1 R p c G 8 l M j B B b H R l c m F k b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Q 2 9 s d W 5 h c y U y M F J l b m 9 t Z W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Q 2 9 s d W 5 h c y U y M F J l b 3 J k Z W 5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0 x p b m h h c y U y M E Z p b H R y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M a W 5 o Y X M l M j B G a W x 0 c m F k Y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0 x p b m h h c y U y M E Z p b H R y Y W R h c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T G l u a G F z J T I w R m l s d H J h Z G F z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M a W 5 o Y X M l M j B G a W x 0 c m F k Y X M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0 x p b m h h c y U y M E Z p b H R y Y W R h c z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T G l u a G F z J T I w R m l s d H J h Z G F z N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U Z X h 0 b y U y M E l u c 2 V y a W R v J T I w Q W 5 0 Z X M l M j B k b y U y M E R l b G l t a X R h Z G 9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0 N v b X B y a W 1 l b n R v J T I w Z G 8 l M j B U Z X h 0 b y U y M E l u c 2 V y a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0 l u d G V y d m F s b y U y M G R l J T I w d G V 4 d G 8 l M j B p b n N l c m l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D b 2 x 1 b m F z J T I w U m V t b 3 Z p Z G F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J b n R l c n Z h b G 8 l M j B k Z S U y M H R l e H R v J T I w a W 5 z Z X J p Z G 8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0 l u d G V y d m F s b y U y M G R l J T I w d G V 4 d G 8 l M j B p b n N l c m l k b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V G l w b y U y M E F s d G V y Y W R v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J b n R l c n Z h b G 8 l M j B k Z S U y M H R l e H R v J T I w a W 5 z Z X J p Z G 8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0 l u d G V y d m F s b y U y M G R l J T I w d G V 4 d G 8 l M j B p b n N l c m l k b z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S W 5 0 Z X J 2 Y W x v J T I w Z G U l M j B 0 Z X h 0 b y U y M G l u c 2 V y a W R v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U a X B v J T I w Q W x 0 Z X J h Z G 8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0 N v b H V u Y X M l M j B S Z W 1 v d m l k Y X M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1 B y a W 1 l a X J v c y U y M E N h c m F j d G V y Z X M l M j B J b n N l c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Q 2 9 s d W 5 h c y U y M F J l b m 9 t Z W F k Y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1 B l c n N v b m F s a X p h J U M z J U E 3 J U M z J U E z b y U y M E F k a W N p b 2 5 h Z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Q 2 9 s d W 5 h c y U y M F J l b W 9 2 a W R h c z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V G l w b y U y M E F s d G V y Y W R v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D b 2 x 1 b m F z J T I w U m V v c m R l b m F k Y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0 R p d m l z J U M z J U E z b y U y M E l u c 2 V y a W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0 N v b n N 1 b H R h c y U y M E 1 l c 2 N s Y W R h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d G J Q b G N 0 Y S U y M E V 4 c G F u Z G l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M j A x O S 9 D b 2 x 1 b m F z J T I w U m V v c m R l b m F k Y X M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I y M D E 5 L 0 x p b m h h c y U y M E N s Y X N z a W Z p Y 2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j I w M T k v Q 2 9 s d W 5 h c y U y M F J l b W 9 2 a W R h c z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0 x M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O Y X Z p Z 2 F 0 a W 9 u U 3 R l c E 5 h b W U i I F Z h b H V l P S J z T m F 2 Z W d h w 6 f D o 2 8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T A t M T d U M T k 6 M z c 6 M z Y u M D Y 0 N T Y x N l o i I C 8 + P E V u d H J 5 I F R 5 c G U 9 I k Z p b G x D b 2 x 1 b W 5 U e X B l c y I g V m F s d W U 9 I n N C Z 1 V B Q X d V P S I g L z 4 8 R W 5 0 c n k g V H l w Z T 0 i R m l s b E N v b H V t b k 5 h b W V z I i B W Y W x 1 Z T 0 i c 1 s m c X V v d D t N w 6 p z J n F 1 b 3 Q 7 L C Z x d W 9 0 O 0 R l c 3 B l c 2 E m c X V v d D s s J n F 1 b 3 Q 7 Q 1 N M T C B T L 0 F B U C Z x d W 9 0 O y w m c X V v d D t D U 0 x M I F M v Q 2 9 u d G l u Z 8 O q b m N p Y X M m c X V v d D s s J n F 1 b 3 Q 7 Q 1 N M T C B h I F B h Z 2 F y J n F 1 b 3 Q 7 X S I g L z 4 8 R W 5 0 c n k g V H l w Z T 0 i R m l s b F N 0 Y X R 1 c y I g V m F s d W U 9 I n N D b 2 1 w b G V 0 Z S I g L z 4 8 R W 5 0 c n k g V H l w Z T 0 i U m V j b 3 Z l c n l U Y X J n Z X R T a G V l d C I g V m F s d W U 9 I n N Q c m 9 2 a X P D t W V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R d W V y e U l E I i B W Y W x 1 Z T 0 i c z F h M D V i Y 2 F m L T N j Z D A t N D N i M i 0 5 N W J j L T c 0 N j I 1 M z I 3 Y z J h N i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1 N M T C 9 M a W 5 o Y X M g S W 5 m Z X J p b 3 J l c y B S Z W 1 v d m l k Y X M u e 0 N v b H V t b j E s M H 0 m c X V v d D s s J n F 1 b 3 Q 7 U 2 V j d G l v b j E v Q 1 N M T C 9 T d W J 0 c m H D p 8 O j b y B J b n N l c m l k Y S 5 7 R G V z c G V z Y S w 3 f S Z x d W 9 0 O y w m c X V v d D t T Z W N 0 a W 9 u M S 9 D U 0 x M L 0 x p b m h h c y B J b m Z l c m l v c m V z I F J l b W 9 2 a W R h c y 5 7 Q 1 N M T C B T L 0 F B U C w y f S Z x d W 9 0 O y w m c X V v d D t T Z W N 0 a W 9 u M S 9 D U 0 x M L 0 x p b m h h c y B J b m Z l c m l v c m V z I F J l b W 9 2 a W R h c y 5 7 Q 1 N M T C B T L 0 N v b n R p b m f D q m 5 j a W F z L D V 9 J n F 1 b 3 Q 7 L C Z x d W 9 0 O 1 N l Y 3 R p b 2 4 x L 0 N T T E w v U 3 V i d H J h w 6 f D o 2 8 g S W 5 z Z X J p Z G E x L n t D U 0 x M I G E g U G F n Y X I s O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Q 1 N M T C 9 M a W 5 o Y X M g S W 5 m Z X J p b 3 J l c y B S Z W 1 v d m l k Y X M u e 0 N v b H V t b j E s M H 0 m c X V v d D s s J n F 1 b 3 Q 7 U 2 V j d G l v b j E v Q 1 N M T C 9 T d W J 0 c m H D p 8 O j b y B J b n N l c m l k Y S 5 7 R G V z c G V z Y S w 3 f S Z x d W 9 0 O y w m c X V v d D t T Z W N 0 a W 9 u M S 9 D U 0 x M L 0 x p b m h h c y B J b m Z l c m l v c m V z I F J l b W 9 2 a W R h c y 5 7 Q 1 N M T C B T L 0 F B U C w y f S Z x d W 9 0 O y w m c X V v d D t T Z W N 0 a W 9 u M S 9 D U 0 x M L 0 x p b m h h c y B J b m Z l c m l v c m V z I F J l b W 9 2 a W R h c y 5 7 Q 1 N M T C B T L 0 N v b n R p b m f D q m 5 j a W F z L D V 9 J n F 1 b 3 Q 7 L C Z x d W 9 0 O 1 N l Y 3 R p b 2 4 x L 0 N T T E w v U 3 V i d H J h w 6 f D o 2 8 g S W 5 z Z X J p Z G E x L n t D U 0 x M I G E g U G F n Y X I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T T E w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0 x M L 0 N T T E x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0 x M L 0 N h Y m U l Q z M l Q T d h b G h v c y U y M F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0 x M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S U E o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x M C 0 x N 1 Q x O T o z O D o w N y 4 x N T k 4 M T k 1 W i I g L z 4 8 R W 5 0 c n k g V H l w Z T 0 i R m l s b E N v b H V t b l R 5 c G V z I i B W Y W x 1 Z T 0 i c 0 J n V U F B d 1 U 9 I i A v P j x F b n R y e S B U e X B l P S J G a W x s Q 2 9 s d W 1 u T m F t Z X M i I F Z h b H V l P S J z W y Z x d W 9 0 O 0 3 D q n M m c X V v d D s s J n F 1 b 3 Q 7 R G V z c G V z Y S Z x d W 9 0 O y w m c X V v d D t J U l B K I F M v Q U F Q J n F 1 b 3 Q 7 L C Z x d W 9 0 O 0 l S U E o g U y 9 D b 2 5 0 a W 5 n w 6 p u Y 2 l h c y Z x d W 9 0 O y w m c X V v d D t J U l B K I G E g U G F n Y X I m c X V v d D t d I i A v P j x F b n R y e S B U e X B l P S J G a W x s U 3 R h d H V z I i B W Y W x 1 Z T 0 i c 0 N v b X B s Z X R l I i A v P j x F b n R y e S B U e X B l P S J S Z W N v d m V y e V R h c m d l d F N o Z W V 0 I i B W Y W x 1 Z T 0 i c 1 B y b 3 Z p c 8 O 1 Z X M i I C 8 + P E V u d H J 5 I F R 5 c G U 9 I l J l Y 2 9 2 Z X J 5 V G F y Z 2 V 0 Q 2 9 s d W 1 u I i B W Y W x 1 Z T 0 i b D g i I C 8 + P E V u d H J 5 I F R 5 c G U 9 I l J l Y 2 9 2 Z X J 5 V G F y Z 2 V 0 U m 9 3 I i B W Y W x 1 Z T 0 i b D E i I C 8 + P E V u d H J 5 I F R 5 c G U 9 I l F 1 Z X J 5 S U Q i I F Z h b H V l P S J z M W E 2 Z D Z j Z T g t N z d j M S 0 0 M T F m L W E 3 Z T M t N D l k Z m Y 3 M j c 1 O W E 3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U l B K L 0 x p b m h h c y B J b m Z l c m l v c m V z I F J l b W 9 2 a W R h c y 5 7 Q 2 9 s d W 1 u M S w w f S Z x d W 9 0 O y w m c X V v d D t T Z W N 0 a W 9 u M S 9 J U l B K L 1 N 1 Y n R y Y c O n w 6 N v I E l u c 2 V y a W R h L n t E Z X N w Z X N h L D E 0 f S Z x d W 9 0 O y w m c X V v d D t T Z W N 0 a W 9 u M S 9 J U l B K L 0 x p b m h h c y B J b m Z l c m l v c m V z I F J l b W 9 2 a W R h c y 5 7 S V J Q S i B T L 0 F B U C w z f S Z x d W 9 0 O y w m c X V v d D t T Z W N 0 a W 9 u M S 9 J U l B K L 0 x p b m h h c y B J b m Z l c m l v c m V z I F J l b W 9 2 a W R h c y 5 7 S V J Q S i B T L 0 N v b n R p b m f D q m 5 j a W F z L D h 9 J n F 1 b 3 Q 7 L C Z x d W 9 0 O 1 N l Y 3 R p b 2 4 x L 0 l S U E o v U 3 V i d H J h w 6 f D o 2 8 g S W 5 z Z X J p Z G E x L n t J U l B K I G E g U G F n Y X I s M T V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l S U E o v T G l u a G F z I E l u Z m V y a W 9 y Z X M g U m V t b 3 Z p Z G F z L n t D b 2 x 1 b W 4 x L D B 9 J n F 1 b 3 Q 7 L C Z x d W 9 0 O 1 N l Y 3 R p b 2 4 x L 0 l S U E o v U 3 V i d H J h w 6 f D o 2 8 g S W 5 z Z X J p Z G E u e 0 R l c 3 B l c 2 E s M T R 9 J n F 1 b 3 Q 7 L C Z x d W 9 0 O 1 N l Y 3 R p b 2 4 x L 0 l S U E o v T G l u a G F z I E l u Z m V y a W 9 y Z X M g U m V t b 3 Z p Z G F z L n t J U l B K I F M v Q U F Q L D N 9 J n F 1 b 3 Q 7 L C Z x d W 9 0 O 1 N l Y 3 R p b 2 4 x L 0 l S U E o v T G l u a G F z I E l u Z m V y a W 9 y Z X M g U m V t b 3 Z p Z G F z L n t J U l B K I F M v Q 2 9 u d G l u Z 8 O q b m N p Y X M s O H 0 m c X V v d D s s J n F 1 b 3 Q 7 U 2 V j d G l v b j E v S V J Q S i 9 T d W J 0 c m H D p 8 O j b y B J b n N l c m l k Y T E u e 0 l S U E o g Y S B Q Y W d h c i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l S U E o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U l B K L 0 l S U E p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U l B K L 0 N h Y m U l Q z M l Q T d h b G h v c y U y M F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U l B K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T E w v Q 2 F i Z S V D M y V B N 2 F s a G 9 z J T I w U H J v b W 9 2 a W R v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0 x M L 1 R p c G 8 l M j B B b H R l c m F k b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0 x M L 0 x p b m h h c y U y M E Z p b H R y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T E w v T 3 V 0 c m F z J T I w Q 2 9 s d W 5 h c y U y M F J l b W 9 2 a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T E w v T G l u a G F z J T I w S W 5 m Z X J p b 3 J l c y U y M F J l b W 9 2 a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T E w v T G l u a G F z J T I w U H J p b m N p c G F p c y U y M F J l b W 9 2 a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T E w v U 3 V i d H J h J U M z J U E 3 J U M z J U E z b y U y M E l u c 2 V y a W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M T C 9 D b 2 x 1 b m F z J T I w U m V u b 2 1 l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T E w v U 3 V i d H J h J U M z J U E 3 J U M z J U E z b y U y M E l u c 2 V y a W R h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T E w v T 3 V 0 c m F z J T I w Q 2 9 s d W 5 h c y U y M F J l b W 9 2 a W R h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U l B K L 0 N h Y m U l Q z M l Q T d h b G h v c y U y M F B y b 2 1 v d m l k b 3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V J Q S i 9 U a X B v J T I w Q W x 0 Z X J h Z G 8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V J Q S i 9 M a W 5 o Y X M l M j B G a W x 0 c m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U l B K L 0 x p b m h h c y U y M F B y a W 5 j a X B h a X M l M j B S Z W 1 v d m l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U l B K L 0 x p b m h h c y U y M E l u Z m V y a W 9 y Z X M l M j B S Z W 1 v d m l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U l B K L 1 N 1 Y n R y Y S V D M y V B N y V D M y V B M 2 8 l M j B J b n N l c m l k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S U E o v U 3 V i d H J h J U M z J U E 3 J U M z J U E z b y U y M E l u c 2 V y a W R h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S U E o v Q 2 9 s d W 5 h c y U y M F J l b m 9 t Z W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U l B K L 0 9 1 d H J h c y U y M E N v b H V u Y X M l M j B S Z W 1 v d m l k Y X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G 5 W g n 7 3 i W U G h 7 / L j C Y P K Y g A A A A A C A A A A A A A D Z g A A w A A A A B A A A A D w M + c c 2 g i I W y M u W v 2 Y H E 1 y A A A A A A S A A A C g A A A A E A A A A O b v i l s R d 2 6 p s / B k b h Q L Z w p Q A A A A f H 5 q e S i K o 8 R R w Q / Z C Y Y g J A t Q k 2 e Z I K m z B P s W k E 3 t c a / R I v Z 5 R O E n C Q F O B S V 3 S U O g 3 N 1 3 Q i e e N P u G / 9 N M Y 6 Q m D q j I e w 4 o x x Y G v x q I C C z 4 P E U U A A A A 0 7 p U p H m P Y P a E W m q Q p t n C s v i d W L Y = < / D a t a M a s h u p > 
</file>

<file path=customXml/itemProps1.xml><?xml version="1.0" encoding="utf-8"?>
<ds:datastoreItem xmlns:ds="http://schemas.openxmlformats.org/officeDocument/2006/customXml" ds:itemID="{9942FB29-B725-4B8A-BAE1-B02B438C63A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23</vt:i4>
      </vt:variant>
      <vt:variant>
        <vt:lpstr>Intervalos Nomeados</vt:lpstr>
      </vt:variant>
      <vt:variant>
        <vt:i4>14</vt:i4>
      </vt:variant>
    </vt:vector>
  </HeadingPairs>
  <TitlesOfParts>
    <vt:vector size="37" baseType="lpstr">
      <vt:lpstr>Capa</vt:lpstr>
      <vt:lpstr>Balancete Dez-2012</vt:lpstr>
      <vt:lpstr>Balancete Dez-2013</vt:lpstr>
      <vt:lpstr>Balancete Dez-2014</vt:lpstr>
      <vt:lpstr>Plan1</vt:lpstr>
      <vt:lpstr>Balancete Dez-2015</vt:lpstr>
      <vt:lpstr>Planilha1</vt:lpstr>
      <vt:lpstr>Tabelas</vt:lpstr>
      <vt:lpstr>Plano de Contas</vt:lpstr>
      <vt:lpstr>Balancete Dez-2016</vt:lpstr>
      <vt:lpstr>Balancete Dez-2017</vt:lpstr>
      <vt:lpstr>Notas explicativas</vt:lpstr>
      <vt:lpstr>Controles</vt:lpstr>
      <vt:lpstr>Balancete 2018</vt:lpstr>
      <vt:lpstr>Provisões</vt:lpstr>
      <vt:lpstr>Balancete 2019</vt:lpstr>
      <vt:lpstr>BP</vt:lpstr>
      <vt:lpstr>DRE</vt:lpstr>
      <vt:lpstr>DRA</vt:lpstr>
      <vt:lpstr>DMPL</vt:lpstr>
      <vt:lpstr>DFC</vt:lpstr>
      <vt:lpstr>DVA</vt:lpstr>
      <vt:lpstr>Índices</vt:lpstr>
      <vt:lpstr>_arred</vt:lpstr>
      <vt:lpstr>_decimos</vt:lpstr>
      <vt:lpstr>_divisor</vt:lpstr>
      <vt:lpstr>_em</vt:lpstr>
      <vt:lpstr>_saldo</vt:lpstr>
      <vt:lpstr>BP!Area_de_impressao</vt:lpstr>
      <vt:lpstr>Capa!Area_de_impressao</vt:lpstr>
      <vt:lpstr>DFC!Area_de_impressao</vt:lpstr>
      <vt:lpstr>DMPL!Area_de_impressao</vt:lpstr>
      <vt:lpstr>DRA!Area_de_impressao</vt:lpstr>
      <vt:lpstr>DRE!Area_de_impressao</vt:lpstr>
      <vt:lpstr>DVA!Area_de_impressao</vt:lpstr>
      <vt:lpstr>Índices!Area_de_impressao</vt:lpstr>
      <vt:lpstr>'Balancete Dez-2015'!BALANCETE_12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glauber</dc:creator>
  <cp:keywords/>
  <dc:description/>
  <cp:lastModifiedBy>Sandra Leite</cp:lastModifiedBy>
  <cp:revision/>
  <cp:lastPrinted>2019-03-26T16:40:29Z</cp:lastPrinted>
  <dcterms:created xsi:type="dcterms:W3CDTF">2011-05-09T17:04:57Z</dcterms:created>
  <dcterms:modified xsi:type="dcterms:W3CDTF">2019-12-10T20:24:26Z</dcterms:modified>
  <cp:category/>
  <cp:contentStatus/>
</cp:coreProperties>
</file>